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tabRatio="738"/>
  </bookViews>
  <sheets>
    <sheet name="დანართი 4 ცხრილი 1" sheetId="8" r:id="rId1"/>
  </sheets>
  <externalReferences>
    <externalReference r:id="rId2"/>
  </externalReferences>
  <definedNames>
    <definedName name="_xlnm._FilterDatabase" localSheetId="0" hidden="1">'დანართი 4 ცხრილი 1'!$B$1:$BE$84</definedName>
    <definedName name="_xlnm.Print_Area" localSheetId="0">'დანართი 4 ცხრილი 1'!$A$1:$BE$88</definedName>
  </definedNames>
  <calcPr calcId="152511"/>
</workbook>
</file>

<file path=xl/calcChain.xml><?xml version="1.0" encoding="utf-8"?>
<calcChain xmlns="http://schemas.openxmlformats.org/spreadsheetml/2006/main">
  <c r="D88" i="8" l="1"/>
  <c r="D87" i="8"/>
  <c r="F83" i="8"/>
  <c r="F82" i="8"/>
  <c r="E65" i="8"/>
  <c r="F66" i="8"/>
  <c r="E49" i="8" l="1"/>
  <c r="E43" i="8"/>
  <c r="E5" i="8"/>
  <c r="AP24" i="8" l="1"/>
  <c r="F58" i="8"/>
  <c r="E87" i="8" l="1"/>
  <c r="E58" i="8" l="1"/>
  <c r="D57" i="8"/>
  <c r="E57" i="8"/>
  <c r="D65" i="8" l="1"/>
  <c r="D49" i="8"/>
  <c r="D43" i="8"/>
  <c r="D5" i="8"/>
  <c r="AG67" i="8" l="1"/>
  <c r="AT59" i="8" l="1"/>
  <c r="AU59" i="8"/>
  <c r="AT60" i="8"/>
  <c r="AU60" i="8"/>
  <c r="AT61" i="8"/>
  <c r="AU61" i="8"/>
  <c r="AT62" i="8"/>
  <c r="AU62" i="8"/>
  <c r="AT58" i="8"/>
  <c r="AU58" i="8"/>
  <c r="AS59" i="8"/>
  <c r="AS60" i="8"/>
  <c r="AS61" i="8"/>
  <c r="AS62" i="8"/>
  <c r="AS58" i="8"/>
  <c r="AH59" i="8"/>
  <c r="AI59" i="8"/>
  <c r="AH60" i="8"/>
  <c r="AI60" i="8"/>
  <c r="AH61" i="8"/>
  <c r="AI61" i="8"/>
  <c r="AH62" i="8"/>
  <c r="AI62" i="8"/>
  <c r="AH58" i="8"/>
  <c r="AI58" i="8"/>
  <c r="AG59" i="8"/>
  <c r="AG60" i="8"/>
  <c r="AG61" i="8"/>
  <c r="AG62" i="8"/>
  <c r="AG58" i="8"/>
  <c r="V59" i="8"/>
  <c r="W59" i="8"/>
  <c r="V60" i="8"/>
  <c r="W60" i="8"/>
  <c r="V61" i="8"/>
  <c r="W61" i="8"/>
  <c r="V62" i="8"/>
  <c r="W62" i="8"/>
  <c r="V58" i="8"/>
  <c r="W58" i="8"/>
  <c r="U59" i="8"/>
  <c r="U60" i="8"/>
  <c r="U61" i="8"/>
  <c r="U62" i="8"/>
  <c r="U58" i="8"/>
  <c r="J60" i="8"/>
  <c r="K60" i="8"/>
  <c r="J61" i="8"/>
  <c r="K61" i="8"/>
  <c r="J62" i="8"/>
  <c r="K62" i="8"/>
  <c r="I60" i="8"/>
  <c r="I61" i="8"/>
  <c r="I62" i="8"/>
  <c r="I59" i="8"/>
  <c r="J59" i="8"/>
  <c r="K59" i="8"/>
  <c r="K58" i="8"/>
  <c r="J58" i="8"/>
  <c r="I58" i="8"/>
  <c r="F59" i="8"/>
  <c r="BB59" i="8"/>
  <c r="BB57" i="8"/>
  <c r="AM51" i="8" l="1"/>
  <c r="AP51" i="8"/>
  <c r="AP49" i="8" s="1"/>
  <c r="AD51" i="8"/>
  <c r="AD49" i="8" s="1"/>
  <c r="AA51" i="8"/>
  <c r="X51" i="8"/>
  <c r="X49" i="8" s="1"/>
  <c r="R51" i="8"/>
  <c r="R49" i="8" s="1"/>
  <c r="AY49" i="8"/>
  <c r="AZ49" i="8"/>
  <c r="BA49" i="8"/>
  <c r="BB49" i="8"/>
  <c r="BC49" i="8"/>
  <c r="BD49" i="8"/>
  <c r="BE49" i="8"/>
  <c r="AW49" i="8"/>
  <c r="AX49" i="8"/>
  <c r="AV49" i="8"/>
  <c r="AQ49" i="8"/>
  <c r="AR49" i="8"/>
  <c r="AN49" i="8"/>
  <c r="AO49" i="8"/>
  <c r="AM49" i="8"/>
  <c r="AK49" i="8"/>
  <c r="AL49" i="8"/>
  <c r="AJ49" i="8"/>
  <c r="AI53" i="8"/>
  <c r="AG53" i="8"/>
  <c r="AE49" i="8"/>
  <c r="AF49" i="8"/>
  <c r="AB49" i="8"/>
  <c r="AC49" i="8"/>
  <c r="AA49" i="8"/>
  <c r="Y49" i="8"/>
  <c r="Z49" i="8"/>
  <c r="V53" i="8"/>
  <c r="W53" i="8"/>
  <c r="U53" i="8"/>
  <c r="S49" i="8"/>
  <c r="T49" i="8"/>
  <c r="P49" i="8"/>
  <c r="Q49" i="8"/>
  <c r="O49" i="8"/>
  <c r="M49" i="8"/>
  <c r="N49" i="8"/>
  <c r="L49" i="8"/>
  <c r="J53" i="8"/>
  <c r="K53" i="8"/>
  <c r="I53" i="8"/>
  <c r="AU53" i="8"/>
  <c r="AS53" i="8"/>
  <c r="F53" i="8"/>
  <c r="AS49" i="8" l="1"/>
  <c r="AG49" i="8"/>
  <c r="U49" i="8"/>
  <c r="I49" i="8"/>
  <c r="AV44" i="8" l="1"/>
  <c r="AJ44" i="8"/>
  <c r="AP47" i="8"/>
  <c r="AP46" i="8"/>
  <c r="J45" i="8"/>
  <c r="AS44" i="8"/>
  <c r="AG56" i="8" l="1"/>
  <c r="AG55" i="8"/>
  <c r="AS56" i="8"/>
  <c r="AS55" i="8"/>
  <c r="AS51" i="8"/>
  <c r="AW54" i="8"/>
  <c r="AX54" i="8"/>
  <c r="AY54" i="8"/>
  <c r="AZ54" i="8"/>
  <c r="BA54" i="8"/>
  <c r="BB54" i="8"/>
  <c r="BC54" i="8"/>
  <c r="BD54" i="8"/>
  <c r="BE54" i="8"/>
  <c r="AV54" i="8"/>
  <c r="AS54" i="8" s="1"/>
  <c r="AS52" i="8"/>
  <c r="AD39" i="8" l="1"/>
  <c r="AA36" i="8"/>
  <c r="U39" i="8"/>
  <c r="AJ37" i="8"/>
  <c r="BB37" i="8"/>
  <c r="F6" i="8"/>
  <c r="F35" i="8" l="1"/>
  <c r="F34" i="8"/>
  <c r="AY37" i="8"/>
  <c r="BB39" i="8"/>
  <c r="AY5" i="8" l="1"/>
  <c r="BB5" i="8" l="1"/>
  <c r="BB35" i="8"/>
  <c r="AV5" i="8"/>
  <c r="F5" i="8" l="1"/>
  <c r="AS66" i="8"/>
  <c r="BB82" i="8" l="1"/>
  <c r="AY82" i="8"/>
  <c r="AV82" i="8"/>
  <c r="AS83" i="8"/>
  <c r="AG82" i="8"/>
  <c r="AG83" i="8"/>
  <c r="H83" i="8"/>
  <c r="H82" i="8"/>
  <c r="AU82" i="8"/>
  <c r="AS82" i="8" l="1"/>
  <c r="G12" i="8" l="1"/>
  <c r="G13" i="8" l="1"/>
  <c r="AP83" i="8"/>
  <c r="AP70" i="8"/>
  <c r="AM44" i="8"/>
  <c r="AD83" i="8"/>
  <c r="AD72" i="8"/>
  <c r="AA72" i="8"/>
  <c r="L43" i="8"/>
  <c r="O36" i="8"/>
  <c r="R36" i="8"/>
  <c r="L36" i="8"/>
  <c r="R5" i="8"/>
  <c r="L5" i="8"/>
  <c r="O6" i="8"/>
  <c r="O5" i="8" s="1"/>
  <c r="AJ72" i="8" l="1"/>
  <c r="AK72" i="8"/>
  <c r="AL72" i="8"/>
  <c r="AN72" i="8"/>
  <c r="AO72" i="8"/>
  <c r="AP72" i="8"/>
  <c r="AQ72" i="8"/>
  <c r="AR72" i="8"/>
  <c r="AM72" i="8"/>
  <c r="AG44" i="8" l="1"/>
  <c r="AM14" i="8" l="1"/>
  <c r="AK82" i="8" l="1"/>
  <c r="AL82" i="8"/>
  <c r="AM82" i="8"/>
  <c r="AN82" i="8"/>
  <c r="AO82" i="8"/>
  <c r="AP82" i="8"/>
  <c r="AQ82" i="8"/>
  <c r="AR82" i="8"/>
  <c r="AJ82" i="8"/>
  <c r="AK54" i="8"/>
  <c r="AL54" i="8"/>
  <c r="AM54" i="8"/>
  <c r="AN54" i="8"/>
  <c r="AO54" i="8"/>
  <c r="AP54" i="8"/>
  <c r="AQ54" i="8"/>
  <c r="AR54" i="8"/>
  <c r="AJ54" i="8"/>
  <c r="V13" i="8" l="1"/>
  <c r="Y82" i="8" l="1"/>
  <c r="Z82" i="8"/>
  <c r="AA82" i="8"/>
  <c r="AB82" i="8"/>
  <c r="AC82" i="8"/>
  <c r="AD82" i="8"/>
  <c r="AE82" i="8"/>
  <c r="AF82" i="8"/>
  <c r="X82" i="8"/>
  <c r="AF58" i="8"/>
  <c r="AF57" i="8" s="1"/>
  <c r="AC58" i="8"/>
  <c r="AC57" i="8" s="1"/>
  <c r="AA57" i="8"/>
  <c r="Z58" i="8"/>
  <c r="Z57" i="8" s="1"/>
  <c r="X72" i="8"/>
  <c r="U72" i="8" s="1"/>
  <c r="U56" i="8"/>
  <c r="U55" i="8"/>
  <c r="Y54" i="8"/>
  <c r="Z54" i="8"/>
  <c r="AA54" i="8"/>
  <c r="AB54" i="8"/>
  <c r="AC54" i="8"/>
  <c r="AD54" i="8"/>
  <c r="AE54" i="8"/>
  <c r="AF54" i="8"/>
  <c r="X54" i="8"/>
  <c r="AF50" i="8"/>
  <c r="AC50" i="8"/>
  <c r="Z50" i="8"/>
  <c r="Z46" i="8"/>
  <c r="Z45" i="8"/>
  <c r="W45" i="8" s="1"/>
  <c r="X6" i="8"/>
  <c r="Y6" i="8"/>
  <c r="Z6" i="8"/>
  <c r="AA6" i="8"/>
  <c r="AB6" i="8"/>
  <c r="AC6" i="8"/>
  <c r="AD6" i="8"/>
  <c r="AE6" i="8"/>
  <c r="AF6" i="8"/>
  <c r="X16" i="8"/>
  <c r="Y16" i="8"/>
  <c r="Z16" i="8"/>
  <c r="AA16" i="8"/>
  <c r="AB16" i="8"/>
  <c r="AC16" i="8"/>
  <c r="AD16" i="8"/>
  <c r="U16" i="8" s="1"/>
  <c r="AE16" i="8"/>
  <c r="AF16" i="8"/>
  <c r="X19" i="8"/>
  <c r="Y19" i="8"/>
  <c r="Z19" i="8"/>
  <c r="AA19" i="8"/>
  <c r="AB19" i="8"/>
  <c r="AC19" i="8"/>
  <c r="AD19" i="8"/>
  <c r="U19" i="8" s="1"/>
  <c r="AE19" i="8"/>
  <c r="AF19" i="8"/>
  <c r="X24" i="8"/>
  <c r="Y24" i="8"/>
  <c r="Z24" i="8"/>
  <c r="AA24" i="8"/>
  <c r="AB24" i="8"/>
  <c r="AC24" i="8"/>
  <c r="W24" i="8" s="1"/>
  <c r="AD24" i="8"/>
  <c r="AE24" i="8"/>
  <c r="AF24" i="8"/>
  <c r="X30" i="8"/>
  <c r="Y30" i="8"/>
  <c r="Z30" i="8"/>
  <c r="AA30" i="8"/>
  <c r="AB30" i="8"/>
  <c r="AC30" i="8"/>
  <c r="AD30" i="8"/>
  <c r="AE30" i="8"/>
  <c r="AF30" i="8"/>
  <c r="X36" i="8"/>
  <c r="Y36" i="8"/>
  <c r="Z36" i="8"/>
  <c r="U36" i="8"/>
  <c r="AB36" i="8"/>
  <c r="AC36" i="8"/>
  <c r="AD36" i="8"/>
  <c r="F36" i="8" s="1"/>
  <c r="AE36" i="8"/>
  <c r="AF36" i="8"/>
  <c r="X43" i="8"/>
  <c r="Y43" i="8"/>
  <c r="AH43" i="8" s="1"/>
  <c r="AA43" i="8"/>
  <c r="U43" i="8" s="1"/>
  <c r="AB43" i="8"/>
  <c r="AC43" i="8"/>
  <c r="AD43" i="8"/>
  <c r="AE43" i="8"/>
  <c r="AF43" i="8"/>
  <c r="X57" i="8"/>
  <c r="Y57" i="8"/>
  <c r="AB57" i="8"/>
  <c r="AD57" i="8"/>
  <c r="AE57" i="8"/>
  <c r="X65" i="8"/>
  <c r="Y65" i="8"/>
  <c r="Z65" i="8"/>
  <c r="AA65" i="8"/>
  <c r="AB65" i="8"/>
  <c r="AC65" i="8"/>
  <c r="AD65" i="8"/>
  <c r="AE65" i="8"/>
  <c r="AF65" i="8"/>
  <c r="X69" i="8"/>
  <c r="Y69" i="8"/>
  <c r="Z69" i="8"/>
  <c r="AA69" i="8"/>
  <c r="AB69" i="8"/>
  <c r="AC69" i="8"/>
  <c r="AD69" i="8"/>
  <c r="AE69" i="8"/>
  <c r="AF69" i="8"/>
  <c r="E72" i="8"/>
  <c r="M69" i="8"/>
  <c r="N69" i="8"/>
  <c r="K69" i="8" s="1"/>
  <c r="O69" i="8"/>
  <c r="P69" i="8"/>
  <c r="Q69" i="8"/>
  <c r="R69" i="8"/>
  <c r="S69" i="8"/>
  <c r="T69" i="8"/>
  <c r="L69" i="8"/>
  <c r="M58" i="8"/>
  <c r="M57" i="8" s="1"/>
  <c r="N57" i="8"/>
  <c r="O57" i="8"/>
  <c r="P58" i="8"/>
  <c r="P57" i="8" s="1"/>
  <c r="Q57" i="8"/>
  <c r="S58" i="8"/>
  <c r="S57" i="8" s="1"/>
  <c r="T58" i="8"/>
  <c r="T57" i="8" s="1"/>
  <c r="L57" i="8"/>
  <c r="V57" i="8"/>
  <c r="AH57" i="8"/>
  <c r="AJ57" i="8"/>
  <c r="AK57" i="8"/>
  <c r="AL57" i="8"/>
  <c r="AM57" i="8"/>
  <c r="AN57" i="8"/>
  <c r="AO57" i="8"/>
  <c r="AP57" i="8"/>
  <c r="AQ57" i="8"/>
  <c r="AR57" i="8"/>
  <c r="AT57" i="8"/>
  <c r="AV57" i="8"/>
  <c r="AW57" i="8"/>
  <c r="AX57" i="8"/>
  <c r="AY57" i="8"/>
  <c r="AZ57" i="8"/>
  <c r="BA57" i="8"/>
  <c r="BC57" i="8"/>
  <c r="BD57" i="8"/>
  <c r="BE57" i="8"/>
  <c r="M54" i="8"/>
  <c r="N54" i="8"/>
  <c r="O54" i="8"/>
  <c r="P54" i="8"/>
  <c r="Q54" i="8"/>
  <c r="R54" i="8"/>
  <c r="S54" i="8"/>
  <c r="T54" i="8"/>
  <c r="L54" i="8"/>
  <c r="M43" i="8"/>
  <c r="N43" i="8"/>
  <c r="O43" i="8"/>
  <c r="P43" i="8"/>
  <c r="Q43" i="8"/>
  <c r="R43" i="8"/>
  <c r="S43" i="8"/>
  <c r="T43" i="8"/>
  <c r="K43" i="8" s="1"/>
  <c r="M36" i="8"/>
  <c r="N36" i="8"/>
  <c r="P36" i="8"/>
  <c r="Q36" i="8"/>
  <c r="S36" i="8"/>
  <c r="T36" i="8"/>
  <c r="K36" i="8" s="1"/>
  <c r="I17" i="8"/>
  <c r="I18" i="8"/>
  <c r="J17" i="8"/>
  <c r="J18" i="8"/>
  <c r="K17" i="8"/>
  <c r="K18" i="8"/>
  <c r="I7" i="8"/>
  <c r="J7" i="8"/>
  <c r="K7" i="8"/>
  <c r="I8" i="8"/>
  <c r="J8" i="8"/>
  <c r="K8" i="8"/>
  <c r="I9" i="8"/>
  <c r="J9" i="8"/>
  <c r="K9" i="8"/>
  <c r="I10" i="8"/>
  <c r="J10" i="8"/>
  <c r="K10" i="8"/>
  <c r="I11" i="8"/>
  <c r="J11" i="8"/>
  <c r="K11" i="8"/>
  <c r="I12" i="8"/>
  <c r="J12" i="8"/>
  <c r="K12" i="8"/>
  <c r="I13" i="8"/>
  <c r="J13" i="8"/>
  <c r="K13" i="8"/>
  <c r="I14" i="8"/>
  <c r="J14" i="8"/>
  <c r="K14" i="8"/>
  <c r="AH6" i="8"/>
  <c r="AJ6" i="8"/>
  <c r="AK6" i="8"/>
  <c r="AK5" i="8" s="1"/>
  <c r="AL6" i="8"/>
  <c r="AM6" i="8"/>
  <c r="AN6" i="8"/>
  <c r="AN5" i="8" s="1"/>
  <c r="AO6" i="8"/>
  <c r="AP6" i="8"/>
  <c r="AQ6" i="8"/>
  <c r="AR6" i="8"/>
  <c r="F17" i="8"/>
  <c r="F18" i="8"/>
  <c r="F20" i="8"/>
  <c r="F21" i="8"/>
  <c r="F22" i="8"/>
  <c r="F23" i="8"/>
  <c r="F25" i="8"/>
  <c r="F26" i="8"/>
  <c r="F27" i="8"/>
  <c r="F28" i="8"/>
  <c r="F29" i="8"/>
  <c r="AU83" i="8"/>
  <c r="AI83" i="8"/>
  <c r="W83" i="8"/>
  <c r="U83" i="8"/>
  <c r="K83" i="8"/>
  <c r="J83" i="8"/>
  <c r="I83" i="8"/>
  <c r="G83" i="8"/>
  <c r="AI82" i="8"/>
  <c r="T82" i="8"/>
  <c r="S82" i="8"/>
  <c r="M82" i="8"/>
  <c r="P82" i="8"/>
  <c r="R82" i="8"/>
  <c r="Q82" i="8"/>
  <c r="O82" i="8"/>
  <c r="N82" i="8"/>
  <c r="L82" i="8"/>
  <c r="I82" i="8" s="1"/>
  <c r="E82" i="8"/>
  <c r="D82" i="8"/>
  <c r="AU81" i="8"/>
  <c r="AS81" i="8"/>
  <c r="AI81" i="8"/>
  <c r="AG81" i="8"/>
  <c r="W81" i="8"/>
  <c r="U81" i="8"/>
  <c r="K81" i="8"/>
  <c r="J81" i="8"/>
  <c r="I81" i="8"/>
  <c r="H81" i="8"/>
  <c r="G81" i="8"/>
  <c r="F81" i="8"/>
  <c r="AU80" i="8"/>
  <c r="AS80" i="8"/>
  <c r="AI80" i="8"/>
  <c r="AG80" i="8"/>
  <c r="W80" i="8"/>
  <c r="U80" i="8"/>
  <c r="K80" i="8"/>
  <c r="J80" i="8"/>
  <c r="I80" i="8"/>
  <c r="H80" i="8"/>
  <c r="G80" i="8"/>
  <c r="F80" i="8"/>
  <c r="AU79" i="8"/>
  <c r="AS79" i="8"/>
  <c r="AI79" i="8"/>
  <c r="AG79" i="8"/>
  <c r="W79" i="8"/>
  <c r="U79" i="8"/>
  <c r="K79" i="8"/>
  <c r="J79" i="8"/>
  <c r="I79" i="8"/>
  <c r="H79" i="8"/>
  <c r="G79" i="8"/>
  <c r="F79" i="8"/>
  <c r="AU78" i="8"/>
  <c r="AS78" i="8"/>
  <c r="AI78" i="8"/>
  <c r="AG78" i="8"/>
  <c r="W78" i="8"/>
  <c r="U78" i="8"/>
  <c r="K78" i="8"/>
  <c r="J78" i="8"/>
  <c r="I78" i="8"/>
  <c r="H78" i="8"/>
  <c r="G78" i="8"/>
  <c r="F78" i="8"/>
  <c r="AU77" i="8"/>
  <c r="AS77" i="8"/>
  <c r="AI77" i="8"/>
  <c r="AG77" i="8"/>
  <c r="W77" i="8"/>
  <c r="U77" i="8"/>
  <c r="K77" i="8"/>
  <c r="J77" i="8"/>
  <c r="I77" i="8"/>
  <c r="H77" i="8"/>
  <c r="G77" i="8"/>
  <c r="F77" i="8"/>
  <c r="AU74" i="8"/>
  <c r="AS74" i="8"/>
  <c r="AI74" i="8"/>
  <c r="AG74" i="8"/>
  <c r="W74" i="8"/>
  <c r="U74" i="8"/>
  <c r="K74" i="8"/>
  <c r="J74" i="8"/>
  <c r="I74" i="8"/>
  <c r="H74" i="8"/>
  <c r="G74" i="8"/>
  <c r="F74" i="8"/>
  <c r="AU73" i="8"/>
  <c r="AS73" i="8"/>
  <c r="AI73" i="8"/>
  <c r="AG73" i="8"/>
  <c r="W73" i="8"/>
  <c r="U73" i="8"/>
  <c r="K73" i="8"/>
  <c r="J73" i="8"/>
  <c r="I73" i="8"/>
  <c r="H73" i="8"/>
  <c r="G73" i="8"/>
  <c r="F73" i="8"/>
  <c r="BD72" i="8"/>
  <c r="BC72" i="8"/>
  <c r="BB72" i="8"/>
  <c r="AV72" i="8"/>
  <c r="AY72" i="8"/>
  <c r="BA72" i="8"/>
  <c r="AZ72" i="8"/>
  <c r="AX72" i="8"/>
  <c r="AW72" i="8"/>
  <c r="AG72" i="8"/>
  <c r="AI72" i="8"/>
  <c r="W72" i="8"/>
  <c r="T72" i="8"/>
  <c r="S72" i="8"/>
  <c r="R72" i="8"/>
  <c r="Q72" i="8"/>
  <c r="P72" i="8"/>
  <c r="O72" i="8"/>
  <c r="N72" i="8"/>
  <c r="M72" i="8"/>
  <c r="L72" i="8"/>
  <c r="D72" i="8"/>
  <c r="AU71" i="8"/>
  <c r="AS71" i="8"/>
  <c r="AI71" i="8"/>
  <c r="AG71" i="8"/>
  <c r="W71" i="8"/>
  <c r="U71" i="8"/>
  <c r="K71" i="8"/>
  <c r="J71" i="8"/>
  <c r="I71" i="8"/>
  <c r="H71" i="8"/>
  <c r="G71" i="8"/>
  <c r="F71" i="8"/>
  <c r="AU70" i="8"/>
  <c r="AS70" i="8"/>
  <c r="AI70" i="8"/>
  <c r="AG70" i="8"/>
  <c r="W70" i="8"/>
  <c r="U70" i="8"/>
  <c r="K70" i="8"/>
  <c r="J70" i="8"/>
  <c r="I70" i="8"/>
  <c r="H70" i="8"/>
  <c r="G70" i="8"/>
  <c r="F70" i="8"/>
  <c r="BD69" i="8"/>
  <c r="BC69" i="8"/>
  <c r="BB69" i="8"/>
  <c r="BA69" i="8"/>
  <c r="AZ69" i="8"/>
  <c r="AY69" i="8"/>
  <c r="AX69" i="8"/>
  <c r="AW69" i="8"/>
  <c r="AV69" i="8"/>
  <c r="AR69" i="8"/>
  <c r="AQ69" i="8"/>
  <c r="AP69" i="8"/>
  <c r="AO69" i="8"/>
  <c r="AN69" i="8"/>
  <c r="AM69" i="8"/>
  <c r="AJ69" i="8"/>
  <c r="AL69" i="8"/>
  <c r="AK69" i="8"/>
  <c r="AH69" i="8"/>
  <c r="E69" i="8"/>
  <c r="D69" i="8"/>
  <c r="H68" i="8"/>
  <c r="G68" i="8"/>
  <c r="F68" i="8"/>
  <c r="AU67" i="8"/>
  <c r="AS67" i="8"/>
  <c r="AI67" i="8"/>
  <c r="W67" i="8"/>
  <c r="V67" i="8"/>
  <c r="U67" i="8"/>
  <c r="K67" i="8"/>
  <c r="J67" i="8"/>
  <c r="I67" i="8"/>
  <c r="H67" i="8"/>
  <c r="G67" i="8"/>
  <c r="AU66" i="8"/>
  <c r="AI66" i="8"/>
  <c r="AG66" i="8"/>
  <c r="W66" i="8"/>
  <c r="U66" i="8"/>
  <c r="K66" i="8"/>
  <c r="J66" i="8"/>
  <c r="I66" i="8"/>
  <c r="H66" i="8"/>
  <c r="G66" i="8"/>
  <c r="BD65" i="8"/>
  <c r="BC65" i="8"/>
  <c r="BB65" i="8"/>
  <c r="BA65" i="8"/>
  <c r="AZ65" i="8"/>
  <c r="AY65" i="8"/>
  <c r="AX65" i="8"/>
  <c r="AW65" i="8"/>
  <c r="AV65" i="8"/>
  <c r="F65" i="8" s="1"/>
  <c r="AR65" i="8"/>
  <c r="AQ65" i="8"/>
  <c r="AP65" i="8"/>
  <c r="AO65" i="8"/>
  <c r="AN65" i="8"/>
  <c r="AM65" i="8"/>
  <c r="AL65" i="8"/>
  <c r="AK65" i="8"/>
  <c r="AJ65" i="8"/>
  <c r="T65" i="8"/>
  <c r="S65" i="8"/>
  <c r="R65" i="8"/>
  <c r="Q65" i="8"/>
  <c r="P65" i="8"/>
  <c r="O65" i="8"/>
  <c r="N65" i="8"/>
  <c r="M65" i="8"/>
  <c r="L65" i="8"/>
  <c r="H64" i="8"/>
  <c r="G64" i="8"/>
  <c r="F64" i="8"/>
  <c r="F63" i="8"/>
  <c r="F57" i="8" s="1"/>
  <c r="F62" i="8"/>
  <c r="K56" i="8"/>
  <c r="J56" i="8"/>
  <c r="I56" i="8"/>
  <c r="H56" i="8"/>
  <c r="G56" i="8"/>
  <c r="F56" i="8"/>
  <c r="K55" i="8"/>
  <c r="J55" i="8"/>
  <c r="I55" i="8"/>
  <c r="H55" i="8"/>
  <c r="G55" i="8"/>
  <c r="F55" i="8"/>
  <c r="AU54" i="8"/>
  <c r="AI54" i="8"/>
  <c r="AG54" i="8"/>
  <c r="E54" i="8"/>
  <c r="D54" i="8"/>
  <c r="AU52" i="8"/>
  <c r="AI52" i="8"/>
  <c r="AG52" i="8"/>
  <c r="W52" i="8"/>
  <c r="V52" i="8"/>
  <c r="U52" i="8"/>
  <c r="K52" i="8"/>
  <c r="J52" i="8"/>
  <c r="I52" i="8"/>
  <c r="H52" i="8"/>
  <c r="G52" i="8"/>
  <c r="F52" i="8"/>
  <c r="AU51" i="8"/>
  <c r="AI51" i="8"/>
  <c r="AG51" i="8"/>
  <c r="W51" i="8"/>
  <c r="V51" i="8"/>
  <c r="U51" i="8"/>
  <c r="K51" i="8"/>
  <c r="J51" i="8"/>
  <c r="I51" i="8"/>
  <c r="H51" i="8"/>
  <c r="G51" i="8"/>
  <c r="F51" i="8"/>
  <c r="AU50" i="8"/>
  <c r="AS50" i="8"/>
  <c r="AI50" i="8"/>
  <c r="AG50" i="8"/>
  <c r="W50" i="8"/>
  <c r="V50" i="8"/>
  <c r="U50" i="8"/>
  <c r="K50" i="8"/>
  <c r="J50" i="8"/>
  <c r="I50" i="8"/>
  <c r="G50" i="8"/>
  <c r="F50" i="8"/>
  <c r="AU48" i="8"/>
  <c r="AT48" i="8"/>
  <c r="AS48" i="8"/>
  <c r="AI48" i="8"/>
  <c r="AH48" i="8"/>
  <c r="AG48" i="8"/>
  <c r="W48" i="8"/>
  <c r="V48" i="8"/>
  <c r="U48" i="8"/>
  <c r="K48" i="8"/>
  <c r="J48" i="8"/>
  <c r="I48" i="8"/>
  <c r="H48" i="8"/>
  <c r="G48" i="8"/>
  <c r="F48" i="8"/>
  <c r="AU47" i="8"/>
  <c r="AS47" i="8"/>
  <c r="AI47" i="8"/>
  <c r="AH47" i="8"/>
  <c r="AG47" i="8"/>
  <c r="W47" i="8"/>
  <c r="V47" i="8"/>
  <c r="U47" i="8"/>
  <c r="K47" i="8"/>
  <c r="J47" i="8"/>
  <c r="I47" i="8"/>
  <c r="F47" i="8"/>
  <c r="G47" i="8" s="1"/>
  <c r="AU46" i="8"/>
  <c r="AS46" i="8"/>
  <c r="AI46" i="8"/>
  <c r="AH46" i="8"/>
  <c r="AG46" i="8"/>
  <c r="W46" i="8"/>
  <c r="V46" i="8"/>
  <c r="U46" i="8"/>
  <c r="K46" i="8"/>
  <c r="J46" i="8"/>
  <c r="I46" i="8"/>
  <c r="H46" i="8"/>
  <c r="F46" i="8"/>
  <c r="AU45" i="8"/>
  <c r="AT45" i="8"/>
  <c r="AS45" i="8"/>
  <c r="AI45" i="8"/>
  <c r="AH45" i="8"/>
  <c r="AG45" i="8"/>
  <c r="V45" i="8"/>
  <c r="U45" i="8"/>
  <c r="K45" i="8"/>
  <c r="I45" i="8"/>
  <c r="G45" i="8"/>
  <c r="F45" i="8"/>
  <c r="AU44" i="8"/>
  <c r="AI44" i="8"/>
  <c r="AH44" i="8"/>
  <c r="W44" i="8"/>
  <c r="V44" i="8"/>
  <c r="U44" i="8"/>
  <c r="K44" i="8"/>
  <c r="J44" i="8"/>
  <c r="I44" i="8"/>
  <c r="H44" i="8"/>
  <c r="F44" i="8"/>
  <c r="BD43" i="8"/>
  <c r="BC43" i="8"/>
  <c r="BB43" i="8"/>
  <c r="BA43" i="8"/>
  <c r="AY43" i="8"/>
  <c r="AX43" i="8"/>
  <c r="AW43" i="8"/>
  <c r="AV43" i="8"/>
  <c r="AT43" i="8"/>
  <c r="AP43" i="8"/>
  <c r="AO43" i="8"/>
  <c r="AM43" i="8"/>
  <c r="AL43" i="8"/>
  <c r="AJ43" i="8"/>
  <c r="AU42" i="8"/>
  <c r="AT42" i="8"/>
  <c r="AS42" i="8"/>
  <c r="AI42" i="8"/>
  <c r="AH42" i="8"/>
  <c r="AG42" i="8"/>
  <c r="W42" i="8"/>
  <c r="V42" i="8"/>
  <c r="U42" i="8"/>
  <c r="K42" i="8"/>
  <c r="J42" i="8"/>
  <c r="I42" i="8"/>
  <c r="H42" i="8"/>
  <c r="G42" i="8"/>
  <c r="F42" i="8"/>
  <c r="AU41" i="8"/>
  <c r="AT41" i="8"/>
  <c r="AS41" i="8"/>
  <c r="AI41" i="8"/>
  <c r="AH41" i="8"/>
  <c r="AG41" i="8"/>
  <c r="W41" i="8"/>
  <c r="V41" i="8"/>
  <c r="U41" i="8"/>
  <c r="K41" i="8"/>
  <c r="J41" i="8"/>
  <c r="I41" i="8"/>
  <c r="H41" i="8"/>
  <c r="G41" i="8"/>
  <c r="F41" i="8"/>
  <c r="AU40" i="8"/>
  <c r="AT40" i="8"/>
  <c r="AS40" i="8"/>
  <c r="AI40" i="8"/>
  <c r="AH40" i="8"/>
  <c r="AG40" i="8"/>
  <c r="W40" i="8"/>
  <c r="V40" i="8"/>
  <c r="U40" i="8"/>
  <c r="K40" i="8"/>
  <c r="J40" i="8"/>
  <c r="I40" i="8"/>
  <c r="H40" i="8"/>
  <c r="G40" i="8"/>
  <c r="F40" i="8"/>
  <c r="AU39" i="8"/>
  <c r="AT39" i="8"/>
  <c r="AS39" i="8"/>
  <c r="AI39" i="8"/>
  <c r="AH39" i="8"/>
  <c r="AG39" i="8"/>
  <c r="W39" i="8"/>
  <c r="V39" i="8"/>
  <c r="K39" i="8"/>
  <c r="J39" i="8"/>
  <c r="I39" i="8"/>
  <c r="H39" i="8"/>
  <c r="G39" i="8"/>
  <c r="F39" i="8"/>
  <c r="AU38" i="8"/>
  <c r="AT38" i="8"/>
  <c r="AS38" i="8"/>
  <c r="AI38" i="8"/>
  <c r="AH38" i="8"/>
  <c r="AG38" i="8"/>
  <c r="W38" i="8"/>
  <c r="V38" i="8"/>
  <c r="U38" i="8"/>
  <c r="K38" i="8"/>
  <c r="J38" i="8"/>
  <c r="I38" i="8"/>
  <c r="H38" i="8"/>
  <c r="G38" i="8"/>
  <c r="F38" i="8"/>
  <c r="AU37" i="8"/>
  <c r="AT37" i="8"/>
  <c r="AS37" i="8"/>
  <c r="AI37" i="8"/>
  <c r="AH37" i="8"/>
  <c r="AG37" i="8"/>
  <c r="W37" i="8"/>
  <c r="V37" i="8"/>
  <c r="U37" i="8"/>
  <c r="K37" i="8"/>
  <c r="J37" i="8"/>
  <c r="I37" i="8"/>
  <c r="H37" i="8"/>
  <c r="G37" i="8"/>
  <c r="F37" i="8"/>
  <c r="BE36" i="8"/>
  <c r="BD36" i="8"/>
  <c r="AX36" i="8"/>
  <c r="BA36" i="8"/>
  <c r="BC36" i="8"/>
  <c r="BB36" i="8"/>
  <c r="AZ36" i="8"/>
  <c r="AY36" i="8"/>
  <c r="AW36" i="8"/>
  <c r="AV36" i="8"/>
  <c r="AR36" i="8"/>
  <c r="AQ36" i="8"/>
  <c r="AP36" i="8"/>
  <c r="AM36" i="8"/>
  <c r="AL36" i="8"/>
  <c r="AK36" i="8"/>
  <c r="AJ36" i="8"/>
  <c r="E36" i="8"/>
  <c r="D36" i="8"/>
  <c r="W33" i="8"/>
  <c r="V33" i="8"/>
  <c r="U33" i="8"/>
  <c r="K33" i="8"/>
  <c r="J33" i="8"/>
  <c r="I33" i="8"/>
  <c r="H33" i="8"/>
  <c r="G33" i="8"/>
  <c r="F33" i="8"/>
  <c r="AI32" i="8"/>
  <c r="AG32" i="8"/>
  <c r="W32" i="8"/>
  <c r="V32" i="8"/>
  <c r="U32" i="8"/>
  <c r="K32" i="8"/>
  <c r="J32" i="8"/>
  <c r="I32" i="8"/>
  <c r="H32" i="8"/>
  <c r="G32" i="8"/>
  <c r="F32" i="8"/>
  <c r="AI31" i="8"/>
  <c r="AG31" i="8"/>
  <c r="W31" i="8"/>
  <c r="V31" i="8"/>
  <c r="U31" i="8"/>
  <c r="K31" i="8"/>
  <c r="J31" i="8"/>
  <c r="I31" i="8"/>
  <c r="H31" i="8"/>
  <c r="G31" i="8"/>
  <c r="F31" i="8"/>
  <c r="BD30" i="8"/>
  <c r="AX30" i="8"/>
  <c r="BA30" i="8"/>
  <c r="BC30" i="8"/>
  <c r="AZ30" i="8"/>
  <c r="AW30" i="8"/>
  <c r="AT30" i="8"/>
  <c r="AR30" i="8"/>
  <c r="AQ30" i="8"/>
  <c r="AP30" i="8"/>
  <c r="AO30" i="8"/>
  <c r="AM30" i="8"/>
  <c r="AL30" i="8"/>
  <c r="AJ30" i="8"/>
  <c r="AH30" i="8"/>
  <c r="AI29" i="8"/>
  <c r="AG29" i="8"/>
  <c r="W29" i="8"/>
  <c r="V29" i="8"/>
  <c r="U29" i="8"/>
  <c r="K29" i="8"/>
  <c r="J29" i="8"/>
  <c r="I29" i="8"/>
  <c r="H29" i="8"/>
  <c r="G29" i="8"/>
  <c r="AI28" i="8"/>
  <c r="AG28" i="8"/>
  <c r="W28" i="8"/>
  <c r="V28" i="8"/>
  <c r="U28" i="8"/>
  <c r="K28" i="8"/>
  <c r="J28" i="8"/>
  <c r="I28" i="8"/>
  <c r="H28" i="8"/>
  <c r="G28" i="8"/>
  <c r="AI27" i="8"/>
  <c r="AG27" i="8"/>
  <c r="W27" i="8"/>
  <c r="V27" i="8"/>
  <c r="U27" i="8"/>
  <c r="K27" i="8"/>
  <c r="J27" i="8"/>
  <c r="I27" i="8"/>
  <c r="H27" i="8"/>
  <c r="G27" i="8"/>
  <c r="AI26" i="8"/>
  <c r="AG26" i="8"/>
  <c r="W26" i="8"/>
  <c r="V26" i="8"/>
  <c r="U26" i="8"/>
  <c r="K26" i="8"/>
  <c r="J26" i="8"/>
  <c r="I26" i="8"/>
  <c r="H26" i="8"/>
  <c r="G26" i="8"/>
  <c r="AI25" i="8"/>
  <c r="AG25" i="8"/>
  <c r="W25" i="8"/>
  <c r="V25" i="8"/>
  <c r="U25" i="8"/>
  <c r="K25" i="8"/>
  <c r="J25" i="8"/>
  <c r="I25" i="8"/>
  <c r="H25" i="8"/>
  <c r="G25" i="8"/>
  <c r="BE24" i="8"/>
  <c r="BD24" i="8"/>
  <c r="BC24" i="8"/>
  <c r="BA24" i="8"/>
  <c r="AZ24" i="8"/>
  <c r="AX24" i="8"/>
  <c r="AW24" i="8"/>
  <c r="AT24" i="8"/>
  <c r="AR24" i="8"/>
  <c r="AQ24" i="8"/>
  <c r="AO24" i="8"/>
  <c r="AM24" i="8"/>
  <c r="AL24" i="8"/>
  <c r="AJ24" i="8"/>
  <c r="AH24" i="8"/>
  <c r="AI23" i="8"/>
  <c r="AG23" i="8"/>
  <c r="W23" i="8"/>
  <c r="V23" i="8"/>
  <c r="U23" i="8"/>
  <c r="K23" i="8"/>
  <c r="J23" i="8"/>
  <c r="I23" i="8"/>
  <c r="H23" i="8"/>
  <c r="G23" i="8"/>
  <c r="AI22" i="8"/>
  <c r="AG22" i="8"/>
  <c r="W22" i="8"/>
  <c r="V22" i="8"/>
  <c r="U22" i="8"/>
  <c r="K22" i="8"/>
  <c r="J22" i="8"/>
  <c r="I22" i="8"/>
  <c r="H22" i="8"/>
  <c r="G22" i="8"/>
  <c r="AI21" i="8"/>
  <c r="AG21" i="8"/>
  <c r="W21" i="8"/>
  <c r="V21" i="8"/>
  <c r="U21" i="8"/>
  <c r="K21" i="8"/>
  <c r="J21" i="8"/>
  <c r="I21" i="8"/>
  <c r="H21" i="8"/>
  <c r="G21" i="8"/>
  <c r="AI20" i="8"/>
  <c r="AG20" i="8"/>
  <c r="W20" i="8"/>
  <c r="V20" i="8"/>
  <c r="U20" i="8"/>
  <c r="K20" i="8"/>
  <c r="J20" i="8"/>
  <c r="I20" i="8"/>
  <c r="H20" i="8"/>
  <c r="G20" i="8"/>
  <c r="BD19" i="8"/>
  <c r="BC19" i="8"/>
  <c r="BC16" i="8"/>
  <c r="BA19" i="8"/>
  <c r="AZ19" i="8"/>
  <c r="AX19" i="8"/>
  <c r="AW19" i="8"/>
  <c r="AT19" i="8"/>
  <c r="AR19" i="8"/>
  <c r="AQ19" i="8"/>
  <c r="AP19" i="8"/>
  <c r="AO19" i="8"/>
  <c r="AM19" i="8"/>
  <c r="AL19" i="8"/>
  <c r="AJ19" i="8"/>
  <c r="AH19" i="8"/>
  <c r="AU18" i="8"/>
  <c r="AT18" i="8"/>
  <c r="AS18" i="8"/>
  <c r="AI18" i="8"/>
  <c r="AG18" i="8"/>
  <c r="W18" i="8"/>
  <c r="V18" i="8"/>
  <c r="U18" i="8"/>
  <c r="H18" i="8"/>
  <c r="G18" i="8"/>
  <c r="AU17" i="8"/>
  <c r="AT17" i="8"/>
  <c r="AS17" i="8"/>
  <c r="AI17" i="8"/>
  <c r="AG17" i="8"/>
  <c r="W17" i="8"/>
  <c r="V17" i="8"/>
  <c r="U17" i="8"/>
  <c r="H17" i="8"/>
  <c r="G17" i="8"/>
  <c r="BD16" i="8"/>
  <c r="BA16" i="8"/>
  <c r="AZ16" i="8"/>
  <c r="AX16" i="8"/>
  <c r="AW16" i="8"/>
  <c r="AR16" i="8"/>
  <c r="AQ16" i="8"/>
  <c r="AP16" i="8"/>
  <c r="AO16" i="8"/>
  <c r="AM16" i="8"/>
  <c r="AJ16" i="8"/>
  <c r="AL16" i="8"/>
  <c r="AH16" i="8"/>
  <c r="AU14" i="8"/>
  <c r="AS14" i="8"/>
  <c r="AI14" i="8"/>
  <c r="AG14" i="8"/>
  <c r="W14" i="8"/>
  <c r="V14" i="8"/>
  <c r="U14" i="8"/>
  <c r="H14" i="8"/>
  <c r="G14" i="8"/>
  <c r="F14" i="8"/>
  <c r="AU13" i="8"/>
  <c r="AS13" i="8"/>
  <c r="AI13" i="8"/>
  <c r="AG13" i="8"/>
  <c r="W13" i="8"/>
  <c r="U13" i="8"/>
  <c r="H13" i="8"/>
  <c r="F13" i="8"/>
  <c r="AU12" i="8"/>
  <c r="AS12" i="8"/>
  <c r="AI12" i="8"/>
  <c r="AG12" i="8"/>
  <c r="W12" i="8"/>
  <c r="V12" i="8"/>
  <c r="U12" i="8"/>
  <c r="H12" i="8"/>
  <c r="F12" i="8"/>
  <c r="AU11" i="8"/>
  <c r="AS11" i="8"/>
  <c r="AI11" i="8"/>
  <c r="AG11" i="8"/>
  <c r="W11" i="8"/>
  <c r="V11" i="8"/>
  <c r="U11" i="8"/>
  <c r="H11" i="8"/>
  <c r="G11" i="8"/>
  <c r="F11" i="8"/>
  <c r="AU10" i="8"/>
  <c r="AS10" i="8"/>
  <c r="AI10" i="8"/>
  <c r="AG10" i="8"/>
  <c r="W10" i="8"/>
  <c r="V10" i="8"/>
  <c r="U10" i="8"/>
  <c r="H10" i="8"/>
  <c r="G10" i="8"/>
  <c r="F10" i="8"/>
  <c r="AU9" i="8"/>
  <c r="AS9" i="8"/>
  <c r="AI9" i="8"/>
  <c r="AG9" i="8"/>
  <c r="W9" i="8"/>
  <c r="V9" i="8"/>
  <c r="U9" i="8"/>
  <c r="H9" i="8"/>
  <c r="G9" i="8"/>
  <c r="F9" i="8"/>
  <c r="AU8" i="8"/>
  <c r="AS8" i="8"/>
  <c r="AI8" i="8"/>
  <c r="AG8" i="8"/>
  <c r="W8" i="8"/>
  <c r="V8" i="8"/>
  <c r="U8" i="8"/>
  <c r="H8" i="8"/>
  <c r="G8" i="8"/>
  <c r="F8" i="8"/>
  <c r="AU7" i="8"/>
  <c r="AS7" i="8"/>
  <c r="AI7" i="8"/>
  <c r="AG7" i="8"/>
  <c r="W7" i="8"/>
  <c r="V7" i="8"/>
  <c r="U7" i="8"/>
  <c r="H7" i="8"/>
  <c r="G7" i="8"/>
  <c r="F7" i="8"/>
  <c r="U69" i="8"/>
  <c r="H47" i="8"/>
  <c r="K6" i="8"/>
  <c r="J6" i="8"/>
  <c r="K19" i="8"/>
  <c r="U24" i="8"/>
  <c r="K30" i="8"/>
  <c r="G63" i="8"/>
  <c r="H50" i="8"/>
  <c r="K16" i="8"/>
  <c r="K24" i="8"/>
  <c r="I16" i="8"/>
  <c r="I19" i="8"/>
  <c r="I24" i="8"/>
  <c r="I30" i="8"/>
  <c r="J49" i="8"/>
  <c r="I6" i="8"/>
  <c r="J16" i="8"/>
  <c r="J19" i="8"/>
  <c r="J24" i="8"/>
  <c r="J30" i="8"/>
  <c r="K5" i="8"/>
  <c r="I5" i="8"/>
  <c r="G62" i="8"/>
  <c r="J5" i="8"/>
  <c r="H63" i="8"/>
  <c r="G61" i="8"/>
  <c r="H62" i="8"/>
  <c r="H61" i="8"/>
  <c r="G59" i="8"/>
  <c r="BA5" i="8" l="1"/>
  <c r="AS6" i="8"/>
  <c r="G44" i="8"/>
  <c r="AT44" i="8"/>
  <c r="AT46" i="8"/>
  <c r="G46" i="8"/>
  <c r="AT47" i="8"/>
  <c r="AZ43" i="8"/>
  <c r="AS43" i="8"/>
  <c r="AI57" i="8"/>
  <c r="V54" i="8"/>
  <c r="K49" i="8"/>
  <c r="AU69" i="8"/>
  <c r="H36" i="8"/>
  <c r="W36" i="8"/>
  <c r="U30" i="8"/>
  <c r="W19" i="8"/>
  <c r="U54" i="8"/>
  <c r="AS30" i="8"/>
  <c r="I69" i="8"/>
  <c r="BG69" i="8" s="1"/>
  <c r="W69" i="8"/>
  <c r="U65" i="8"/>
  <c r="AH5" i="8"/>
  <c r="AU72" i="8"/>
  <c r="I65" i="8"/>
  <c r="AI65" i="8"/>
  <c r="AT36" i="8"/>
  <c r="G30" i="8"/>
  <c r="G16" i="8"/>
  <c r="I72" i="8"/>
  <c r="BG72" i="8" s="1"/>
  <c r="BH72" i="8" s="1"/>
  <c r="W65" i="8"/>
  <c r="J36" i="8"/>
  <c r="J43" i="8"/>
  <c r="K54" i="8"/>
  <c r="AS16" i="8"/>
  <c r="BC5" i="8"/>
  <c r="AO5" i="8"/>
  <c r="AM5" i="8"/>
  <c r="AG24" i="8"/>
  <c r="AG30" i="8"/>
  <c r="G72" i="8"/>
  <c r="K65" i="8"/>
  <c r="AS65" i="8"/>
  <c r="AI69" i="8"/>
  <c r="H72" i="8"/>
  <c r="V65" i="8"/>
  <c r="F54" i="8"/>
  <c r="J72" i="8"/>
  <c r="K72" i="8"/>
  <c r="I54" i="8"/>
  <c r="V69" i="8"/>
  <c r="J65" i="8"/>
  <c r="AI49" i="8"/>
  <c r="G82" i="8"/>
  <c r="H45" i="8"/>
  <c r="J82" i="8"/>
  <c r="AS72" i="8"/>
  <c r="AS19" i="8"/>
  <c r="AS57" i="8"/>
  <c r="AS69" i="8"/>
  <c r="AU16" i="8"/>
  <c r="AU49" i="8"/>
  <c r="AU43" i="8"/>
  <c r="H19" i="8"/>
  <c r="Z43" i="8"/>
  <c r="W43" i="8" s="1"/>
  <c r="AB5" i="8"/>
  <c r="H24" i="8"/>
  <c r="X5" i="8"/>
  <c r="W49" i="8"/>
  <c r="K82" i="8"/>
  <c r="I43" i="8"/>
  <c r="BG43" i="8" s="1"/>
  <c r="J54" i="8"/>
  <c r="K57" i="8"/>
  <c r="G54" i="8"/>
  <c r="I36" i="8"/>
  <c r="BG36" i="8" s="1"/>
  <c r="J57" i="8"/>
  <c r="AI16" i="8"/>
  <c r="AT16" i="8"/>
  <c r="AT14" i="8" s="1"/>
  <c r="AT13" i="8" s="1"/>
  <c r="AT12" i="8" s="1"/>
  <c r="AT11" i="8" s="1"/>
  <c r="AT10" i="8" s="1"/>
  <c r="AT9" i="8" s="1"/>
  <c r="AT8" i="8" s="1"/>
  <c r="AT7" i="8" s="1"/>
  <c r="AT6" i="8" s="1"/>
  <c r="AI19" i="8"/>
  <c r="AG69" i="8"/>
  <c r="AH36" i="8"/>
  <c r="AE5" i="8"/>
  <c r="AU19" i="8"/>
  <c r="V30" i="8"/>
  <c r="AJ5" i="8"/>
  <c r="W30" i="8"/>
  <c r="U82" i="8"/>
  <c r="BG82" i="8" s="1"/>
  <c r="BH82" i="8" s="1"/>
  <c r="V16" i="8"/>
  <c r="AH65" i="8"/>
  <c r="AZ5" i="8"/>
  <c r="AQ5" i="8"/>
  <c r="AI24" i="8"/>
  <c r="AU36" i="8"/>
  <c r="AT49" i="8"/>
  <c r="AA5" i="8"/>
  <c r="U57" i="8"/>
  <c r="H65" i="8"/>
  <c r="F19" i="8"/>
  <c r="AS24" i="8"/>
  <c r="BD5" i="8"/>
  <c r="F30" i="8"/>
  <c r="AU57" i="8"/>
  <c r="H69" i="8"/>
  <c r="AF5" i="8"/>
  <c r="Y5" i="8"/>
  <c r="F72" i="8"/>
  <c r="F43" i="8"/>
  <c r="G69" i="8"/>
  <c r="AI43" i="8"/>
  <c r="AI36" i="8"/>
  <c r="AI30" i="8"/>
  <c r="AR5" i="8"/>
  <c r="AG19" i="8"/>
  <c r="G19" i="8"/>
  <c r="AL5" i="8"/>
  <c r="H49" i="8"/>
  <c r="F69" i="8"/>
  <c r="F16" i="8"/>
  <c r="AU6" i="8"/>
  <c r="AU24" i="8"/>
  <c r="AU30" i="8"/>
  <c r="G43" i="8"/>
  <c r="AS36" i="8"/>
  <c r="AU65" i="8"/>
  <c r="AX5" i="8"/>
  <c r="AW5" i="8"/>
  <c r="F49" i="8"/>
  <c r="AT65" i="8"/>
  <c r="G24" i="8"/>
  <c r="AP5" i="8"/>
  <c r="AG16" i="8"/>
  <c r="H59" i="8"/>
  <c r="H58" i="8" s="1"/>
  <c r="H57" i="8" s="1"/>
  <c r="AI6" i="8"/>
  <c r="H6" i="8"/>
  <c r="AG65" i="8"/>
  <c r="AG57" i="8"/>
  <c r="AG43" i="8"/>
  <c r="AG6" i="8"/>
  <c r="AG36" i="8"/>
  <c r="G36" i="8"/>
  <c r="AT69" i="8"/>
  <c r="F24" i="8"/>
  <c r="W16" i="8"/>
  <c r="H54" i="8"/>
  <c r="W57" i="8"/>
  <c r="W82" i="8"/>
  <c r="G49" i="8"/>
  <c r="G58" i="8"/>
  <c r="G57" i="8" s="1"/>
  <c r="V24" i="8"/>
  <c r="G6" i="8"/>
  <c r="U6" i="8"/>
  <c r="AC5" i="8"/>
  <c r="H16" i="8"/>
  <c r="W54" i="8"/>
  <c r="AH49" i="8"/>
  <c r="G65" i="8"/>
  <c r="V19" i="8"/>
  <c r="V36" i="8"/>
  <c r="H30" i="8"/>
  <c r="Z5" i="8"/>
  <c r="W6" i="8"/>
  <c r="V6" i="8"/>
  <c r="AD5" i="8"/>
  <c r="F87" i="8" l="1"/>
  <c r="BG49" i="8"/>
  <c r="BH49" i="8" s="1"/>
  <c r="BG54" i="8"/>
  <c r="BH54" i="8" s="1"/>
  <c r="U5" i="8"/>
  <c r="BG5" i="8" s="1"/>
  <c r="W5" i="8"/>
  <c r="BH43" i="8"/>
  <c r="BH69" i="8"/>
  <c r="BG65" i="8"/>
  <c r="BH65" i="8" s="1"/>
  <c r="H43" i="8"/>
  <c r="AU5" i="8"/>
  <c r="BH36" i="8"/>
  <c r="G5" i="8"/>
  <c r="AG5" i="8"/>
  <c r="AI5" i="8"/>
  <c r="AS5" i="8"/>
  <c r="V5" i="8"/>
  <c r="H5" i="8"/>
  <c r="BH5" i="8" l="1"/>
  <c r="I57" i="8" l="1"/>
  <c r="BG57" i="8" s="1"/>
  <c r="BH57" i="8" s="1"/>
  <c r="R57" i="8"/>
  <c r="F61" i="8"/>
</calcChain>
</file>

<file path=xl/comments1.xml><?xml version="1.0" encoding="utf-8"?>
<comments xmlns="http://schemas.openxmlformats.org/spreadsheetml/2006/main">
  <authors>
    <author>Author</author>
  </authors>
  <commentList>
    <comment ref="AG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237226.86</t>
        </r>
      </text>
    </comment>
  </commentList>
</comments>
</file>

<file path=xl/sharedStrings.xml><?xml version="1.0" encoding="utf-8"?>
<sst xmlns="http://schemas.openxmlformats.org/spreadsheetml/2006/main" count="165" uniqueCount="118">
  <si>
    <t>პროგრამული კოდი</t>
  </si>
  <si>
    <t>შენიშვნა</t>
  </si>
  <si>
    <t>თანხა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</si>
  <si>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</si>
  <si>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</si>
  <si>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</si>
  <si>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</si>
  <si>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</si>
  <si>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</si>
  <si>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</si>
  <si>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</si>
  <si>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</si>
  <si>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</si>
  <si>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</si>
  <si>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</si>
  <si>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ცხრილი N1</t>
  </si>
  <si>
    <t>დასახელება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</si>
  <si>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</si>
  <si>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დამტკიცებული ბიუჯეტი</t>
  </si>
  <si>
    <t>ბენეფიციარი</t>
  </si>
  <si>
    <t>შემთხვევა</t>
  </si>
  <si>
    <t>საკასო ხარჯი</t>
  </si>
  <si>
    <t>წლის განმავლობაში სულ</t>
  </si>
  <si>
    <t>ძუძუს კიბოს სკრინინგი</t>
  </si>
  <si>
    <t xml:space="preserve"> საშვილოსნოს ყელის სკრინინგი</t>
  </si>
  <si>
    <t xml:space="preserve"> კოლპოსკოპია (სკრინინგი)</t>
  </si>
  <si>
    <t>კოლპოსკოპია (მორფოლოგიით)</t>
  </si>
  <si>
    <t>ბენეფიციართა იდენტიფიკაცია/ ბავშვთა განვითარების სკრინინგი</t>
  </si>
  <si>
    <t>ნევროლოგის კონსულტაცია, ძილის დარღვევების კვლევა</t>
  </si>
  <si>
    <t>ბენეფიციართა ნეიროფსიქოლოგიური დიაგნოსტიკა</t>
  </si>
  <si>
    <t>ელექტროფიზიოლოგიური კვლევები და მონაცემთა ანალიზი</t>
  </si>
  <si>
    <t>მონაცემთა რეგისტრაცია - დამუშავება და "ეპილეფსიის რეესტრის" ბაზაში განთავსება; პირველადი სკრინინგი - ნევროლოგის კონსულტაცია</t>
  </si>
  <si>
    <t xml:space="preserve">მეორადი (ეპილეფტოლოგიური) სკრინინგი </t>
  </si>
  <si>
    <t>ეეგ - კვლევა</t>
  </si>
  <si>
    <t>ნეიროფსიქოლოგიური ტესტირება</t>
  </si>
  <si>
    <t>ეპილეფტოლოგიური დასკვნითი დიაგნოსტიკა</t>
  </si>
  <si>
    <t xml:space="preserve"> დღენაკლულთა პირველადი კვლევა
</t>
  </si>
  <si>
    <t xml:space="preserve"> დღენაკლულთა განმეორებითი კვლევა</t>
  </si>
  <si>
    <t>2.1 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</si>
  <si>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2.2 სს „ტუბერკულოზისა და ფილტვის დაავადებათა ეროვნული ცენტრი“</t>
  </si>
  <si>
    <t>C ჰეპატიტის მართვა</t>
  </si>
  <si>
    <t>დამტკიცებული ბიუჯეტი (ცვლილება)</t>
  </si>
  <si>
    <r>
      <rPr>
        <b/>
        <sz val="10"/>
        <color theme="3" tint="-0.499984740745262"/>
        <rFont val="Sylfaen"/>
        <family val="1"/>
      </rPr>
      <t xml:space="preserve">კომპონენტი: </t>
    </r>
    <r>
      <rPr>
        <sz val="10"/>
        <color theme="3" tint="-0.499984740745262"/>
        <rFont val="Sylfaen"/>
        <family val="1"/>
      </rPr>
      <t>ახალშობილთა სმენის სკრინინგული გამოკვლევა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</si>
  <si>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ჯანსაღი კვების შესახებ განათლება</t>
    </r>
  </si>
  <si>
    <t>.</t>
  </si>
  <si>
    <t>საშვილოსნოს ყელის სკრინინგი</t>
  </si>
  <si>
    <t>კოლპოსკოპია</t>
  </si>
  <si>
    <t>პროსტატის კიბოს მართვა</t>
  </si>
  <si>
    <t>კოლორექტალური სკრინინგი</t>
  </si>
  <si>
    <t>კოლონოსკოპია (სკრინინგი)</t>
  </si>
  <si>
    <t>კოლონოსკოპია (მორფოლოგია)</t>
  </si>
  <si>
    <t>საკომიკაციო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</si>
  <si>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</si>
  <si>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კომპონენტი:  ტუბერკულოზის პროგრამის რეგიონული მართვა და მონიტორინგი 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</si>
  <si>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თამბაქოს მოხმარების კონტროლის გაძლიერება 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</si>
  <si>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ალკოჰოლის ჭარბი მოხმარების შესახებ ცნობიერების ამაღლება 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</si>
  <si>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ფიზიკური აქტივობის ხელშეწყობა </t>
    </r>
  </si>
  <si>
    <r>
      <t>კომპონენტი:</t>
    </r>
    <r>
      <rPr>
        <sz val="10"/>
        <color theme="3" tint="-0.499984740745262"/>
        <rFont val="Sylfaen"/>
        <family val="1"/>
      </rPr>
      <t xml:space="preserve">C ჰეპატიტის პრევენცია და მოსახლეობის განათლების ხელშეწყობა 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</si>
  <si>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ფსიქიკური ჯანმრთელობის ხელშეწყობა  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</si>
  <si>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ნივთიერებადამოკიდებულების და აზარტულ თამაშებზე დამოკიდებულების პრევენცია </t>
    </r>
  </si>
  <si>
    <r>
      <rPr>
        <b/>
        <sz val="10"/>
        <color theme="3" tint="-0.499984740745262"/>
        <rFont val="Sylfaen"/>
        <family val="1"/>
      </rPr>
      <t xml:space="preserve">კომპონენტი: </t>
    </r>
    <r>
      <rPr>
        <sz val="10"/>
        <color theme="3" tint="-0.499984740745262"/>
        <rFont val="Sylfaen"/>
        <family val="1"/>
      </rPr>
      <t xml:space="preserve">გარემო და ჯანმრთელობა </t>
    </r>
  </si>
  <si>
    <r>
      <t>კომპონენტი:</t>
    </r>
    <r>
      <rPr>
        <sz val="10"/>
        <color theme="3" tint="-0.499984740745262"/>
        <rFont val="Sylfaen"/>
        <family val="1"/>
      </rPr>
      <t xml:space="preserve"> 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  </r>
  </si>
  <si>
    <t>27 03 02 01</t>
  </si>
  <si>
    <t>27 03 02 02</t>
  </si>
  <si>
    <t>27 03 02 03</t>
  </si>
  <si>
    <t>27 03 02 04</t>
  </si>
  <si>
    <t>27 03 02 05</t>
  </si>
  <si>
    <t>27 03 02 06 02</t>
  </si>
  <si>
    <t>27 03 02 07 02</t>
  </si>
  <si>
    <t>27 03 02 08 02</t>
  </si>
  <si>
    <t>27 03 02 10</t>
  </si>
  <si>
    <t>27 03 02 11 02</t>
  </si>
  <si>
    <t>I კვარტალი</t>
  </si>
  <si>
    <t>II კვარტალი</t>
  </si>
  <si>
    <t>III კვარტალი</t>
  </si>
  <si>
    <t>IV კვარტალი</t>
  </si>
  <si>
    <t xml:space="preserve"> 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აბორატორიებისათვის პროგრამის მე-3 მუხლის გ.დ“ ქვეპუნქტით გათვალისწინებული საქონლის შესყიდვა</t>
  </si>
  <si>
    <t xml:space="preserve">ლაბორატორიული კონტროლი და ნახველის ლოჯისტიკა, მ.შ: 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</si>
  <si>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(B ჰეპატიტის საწინააღმდეგო იმუნოგლობულინით) უზრუნველყოფა </t>
    </r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</si>
  <si>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არაუმეტეს 75%-ისა) მედიკამენტების შესყიდვა </t>
  </si>
  <si>
    <t>ივ-ინფექციაზე/შიდსზე, B ჰეპატიტსა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</si>
  <si>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</si>
  <si>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 </t>
  </si>
  <si>
    <t xml:space="preserve">ტუბერკულოზის სამკურნალო პირველი და მეორე რიგის (სრული ღირებულების არაუმეტეს 75%-ისა) მედიკამენტების შესყიდვა 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</si>
  <si>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</si>
  <si>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</si>
  <si>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სკრინინგული კვლევის კომპონენტი</t>
  </si>
  <si>
    <t xml:space="preserve">დონორული სისხლის კვლევა В და С ჰეპატიტზე, აივ-ინფექციასა/ შიდსა და სიფილისზე </t>
  </si>
  <si>
    <t xml:space="preserve">ხარისხის გარე კონტროლისა და მონიტორინგის უზრუნველყოფა, მათ შორის,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</si>
  <si>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(მ.შ., „უანგარო დონორთა მსოფლიო დღესთან“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</si>
  <si>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</si>
  <si>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</si>
  <si>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</si>
  <si>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ნოზოკომური ინფექციების ეპიდზედამხედველობა </t>
  </si>
  <si>
    <t xml:space="preserve">ვირუსული დიარეების კვლევა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</si>
  <si>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</si>
  <si>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 xml:space="preserve">„ცივი ჯაჭვის“ მოწყობილობების/ინვენტარის შესყიდვა და მონტაჟი </t>
  </si>
  <si>
    <t xml:space="preserve">აცრა-ვიზიტისა და ექიმის კონსულტაციის მომსახურება </t>
  </si>
  <si>
    <t xml:space="preserve">გრიპის საწინააღმდეგო ვაქცინის შესყიდვა </t>
  </si>
  <si>
    <t xml:space="preserve">ანტირაბიული სამკურნალო საშუალებებით უზრუნველყოფა </t>
  </si>
  <si>
    <t xml:space="preserve">სპეციფიკური შრატებისა და ვაქცინების შესყიდვა </t>
  </si>
  <si>
    <t xml:space="preserve">ვაქცინებისა და ასაცრელი მასალების შესყიდვა </t>
  </si>
  <si>
    <t xml:space="preserve">ბავშვთა სისხლში ტყვიის შემცველობის ბიომონიტორინგი </t>
  </si>
  <si>
    <t xml:space="preserve">პრევენციული ღონისძიებების პოპულარიზაცია და საინფორმაციო მხარდაჭერა </t>
  </si>
  <si>
    <t xml:space="preserve">საინფორმაციო რეგისტრებისა და ელექტრონული მოდულების განვითარება </t>
  </si>
  <si>
    <t xml:space="preserve">დღენაკლულთა რეტინოპათიის სკრინინგის პილოტი </t>
  </si>
  <si>
    <t xml:space="preserve">ეპილეფსიის დიაგნოსტიკა და ზედამხედველობა </t>
  </si>
  <si>
    <t xml:space="preserve">1-დან 6 წლამდე ასაკის ბავშვთა  მსუბუქი და საშუალო ხარისხის მენტალური განვითარების დარღვევების პრევენცია </t>
  </si>
  <si>
    <t xml:space="preserve">საშვილოსნოს ყელის ორგანიზებული სკრინინგი </t>
  </si>
  <si>
    <t xml:space="preserve">კიბოს სკრინინგის კომპონენტი 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</si>
  <si>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</si>
  <si>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</si>
  <si>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</si>
  <si>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</si>
  <si>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</si>
  <si>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აივ-ინფექციის/შიდსის მართვა</t>
  </si>
  <si>
    <t>დედათა და ბავშვთა ჯანმრთელობა</t>
  </si>
  <si>
    <t>ჯანმრთელობის ხელშეწყობა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</si>
</sst>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₾_-;\-* #,##0.00\ _₾_-;_-* &quot;-&quot;??\ _₾_-;_-@_-"/>
    <numFmt numFmtId="165" formatCode="#,##0.0"/>
    <numFmt numFmtId="168" formatCode="_-* #,##0.0\ _₾_-;\-* #,##0.0\ _₾_-;_-* &quot;-&quot;??\ _₾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  <charset val="204"/>
    </font>
    <font>
      <b/>
      <sz val="10"/>
      <name val="Sylfaen"/>
      <family val="1"/>
    </font>
    <font>
      <b/>
      <sz val="11"/>
      <name val="Sylfaen"/>
      <family val="1"/>
    </font>
    <font>
      <b/>
      <sz val="10"/>
      <color theme="3" tint="-0.499984740745262"/>
      <name val="Sylfaen"/>
      <family val="1"/>
    </font>
    <font>
      <b/>
      <sz val="10"/>
      <color theme="1"/>
      <name val="Sylfaen"/>
      <family val="1"/>
    </font>
    <font>
      <sz val="10"/>
      <name val="GEO DUMBADZE"/>
      <family val="2"/>
    </font>
    <font>
      <sz val="10"/>
      <color theme="3" tint="-0.499984740745262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1"/>
      <color theme="3" tint="-0.499984740745262"/>
      <name val="Sylfaen"/>
      <family val="1"/>
    </font>
    <font>
      <sz val="11"/>
      <color theme="3" tint="-0.499984740745262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0070C0"/>
      <name val="Sylfaen"/>
      <family val="1"/>
    </font>
    <font>
      <b/>
      <sz val="11"/>
      <color rgb="FF0070C0"/>
      <name val="Sylfaen"/>
      <family val="1"/>
    </font>
    <font>
      <sz val="10"/>
      <color rgb="FFFF0000"/>
      <name val="Sylfaen"/>
      <family val="1"/>
    </font>
    <font>
      <b/>
      <sz val="10"/>
      <color rgb="FFFF0000"/>
      <name val="Sylfaen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 tint="-0.249977111117893"/>
        <bgColor indexed="64"/>
      </patternFill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00"/>
        <bgColor auto="1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3" tint="-0.2499465926084170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theme="3" tint="-0.24994659260841701"/>
      </bottom>
      <diagonal/>
    </border>
    <border>
      <left style="medium">
        <color indexed="64"/>
      </left>
      <right/>
      <top style="medium">
        <color theme="3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64"/>
      </left>
      <right style="medium">
        <color indexed="64"/>
      </right>
      <top style="medium">
        <color theme="3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medium">
        <color theme="3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3" fillId="0" borderId="0"/>
    <xf numFmtId="0" fontId="8" fillId="0" borderId="0"/>
    <xf numFmtId="0" fontId="14" fillId="0" borderId="0"/>
  </cellStyleXfs>
  <cellXfs count="148">
    <xf numFmtId="0" fontId="0" fillId="0" borderId="0" xfId="0"/>
    <xf numFmtId="0" fontId="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6" fillId="3" borderId="0" xfId="0" applyNumberFormat="1" applyFont="1" applyFill="1" applyAlignment="1">
      <alignment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left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left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3" fontId="9" fillId="3" borderId="16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4" fontId="9" fillId="5" borderId="6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165" fontId="9" fillId="3" borderId="14" xfId="0" applyNumberFormat="1" applyFont="1" applyFill="1" applyBorder="1" applyAlignment="1">
      <alignment horizontal="left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left" vertical="center" wrapText="1"/>
    </xf>
    <xf numFmtId="49" fontId="9" fillId="3" borderId="14" xfId="0" applyNumberFormat="1" applyFont="1" applyFill="1" applyBorder="1" applyAlignment="1">
      <alignment horizontal="left" vertical="center" wrapText="1"/>
    </xf>
    <xf numFmtId="3" fontId="9" fillId="3" borderId="12" xfId="0" applyNumberFormat="1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3" fontId="9" fillId="6" borderId="11" xfId="0" applyNumberFormat="1" applyFont="1" applyFill="1" applyBorder="1" applyAlignment="1">
      <alignment horizontal="center" vertical="center" wrapText="1"/>
    </xf>
    <xf numFmtId="3" fontId="9" fillId="6" borderId="14" xfId="0" applyNumberFormat="1" applyFont="1" applyFill="1" applyBorder="1" applyAlignment="1">
      <alignment horizontal="left" vertical="center" wrapText="1"/>
    </xf>
    <xf numFmtId="4" fontId="9" fillId="6" borderId="14" xfId="0" applyNumberFormat="1" applyFont="1" applyFill="1" applyBorder="1" applyAlignment="1">
      <alignment horizontal="center" vertical="center" wrapText="1"/>
    </xf>
    <xf numFmtId="3" fontId="9" fillId="6" borderId="16" xfId="0" applyNumberFormat="1" applyFont="1" applyFill="1" applyBorder="1" applyAlignment="1">
      <alignment horizontal="center" vertical="center" wrapText="1"/>
    </xf>
    <xf numFmtId="165" fontId="9" fillId="6" borderId="14" xfId="0" applyNumberFormat="1" applyFont="1" applyFill="1" applyBorder="1" applyAlignment="1">
      <alignment horizontal="left" vertical="center" wrapText="1"/>
    </xf>
    <xf numFmtId="4" fontId="6" fillId="4" borderId="25" xfId="0" applyNumberFormat="1" applyFont="1" applyFill="1" applyBorder="1" applyAlignment="1">
      <alignment horizontal="center" vertical="center" wrapText="1"/>
    </xf>
    <xf numFmtId="4" fontId="6" fillId="5" borderId="6" xfId="0" applyNumberFormat="1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center" vertical="center" wrapText="1"/>
    </xf>
    <xf numFmtId="3" fontId="6" fillId="4" borderId="25" xfId="0" applyNumberFormat="1" applyFont="1" applyFill="1" applyBorder="1" applyAlignment="1">
      <alignment horizontal="center" vertical="center" wrapText="1"/>
    </xf>
    <xf numFmtId="4" fontId="6" fillId="4" borderId="22" xfId="0" applyNumberFormat="1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9" fillId="6" borderId="11" xfId="0" applyNumberFormat="1" applyFont="1" applyFill="1" applyBorder="1" applyAlignment="1">
      <alignment horizontal="center" vertical="center" wrapText="1"/>
    </xf>
    <xf numFmtId="3" fontId="9" fillId="3" borderId="26" xfId="0" applyNumberFormat="1" applyFont="1" applyFill="1" applyBorder="1" applyAlignment="1">
      <alignment horizontal="center" vertical="center" wrapText="1"/>
    </xf>
    <xf numFmtId="3" fontId="9" fillId="6" borderId="14" xfId="0" applyNumberFormat="1" applyFont="1" applyFill="1" applyBorder="1" applyAlignment="1">
      <alignment horizontal="center" vertical="center" wrapText="1"/>
    </xf>
    <xf numFmtId="4" fontId="9" fillId="3" borderId="26" xfId="0" applyNumberFormat="1" applyFont="1" applyFill="1" applyBorder="1" applyAlignment="1">
      <alignment horizontal="center" vertical="center" wrapText="1"/>
    </xf>
    <xf numFmtId="4" fontId="6" fillId="5" borderId="7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left" vertical="center" wrapText="1"/>
    </xf>
    <xf numFmtId="4" fontId="9" fillId="3" borderId="14" xfId="0" applyNumberFormat="1" applyFont="1" applyFill="1" applyBorder="1" applyAlignment="1">
      <alignment horizontal="left" vertical="center" wrapText="1"/>
    </xf>
    <xf numFmtId="4" fontId="6" fillId="3" borderId="14" xfId="0" applyNumberFormat="1" applyFont="1" applyFill="1" applyBorder="1" applyAlignment="1">
      <alignment horizontal="left" vertical="center" wrapText="1"/>
    </xf>
    <xf numFmtId="4" fontId="6" fillId="4" borderId="29" xfId="0" applyNumberFormat="1" applyFont="1" applyFill="1" applyBorder="1" applyAlignment="1">
      <alignment horizontal="center" vertical="center" wrapText="1"/>
    </xf>
    <xf numFmtId="3" fontId="12" fillId="3" borderId="15" xfId="0" applyNumberFormat="1" applyFont="1" applyFill="1" applyBorder="1" applyAlignment="1">
      <alignment horizontal="center" vertical="center" wrapText="1"/>
    </xf>
    <xf numFmtId="3" fontId="12" fillId="5" borderId="3" xfId="0" applyNumberFormat="1" applyFont="1" applyFill="1" applyBorder="1" applyAlignment="1">
      <alignment horizontal="center" vertical="center" wrapText="1"/>
    </xf>
    <xf numFmtId="3" fontId="13" fillId="3" borderId="15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13" fillId="6" borderId="15" xfId="0" applyNumberFormat="1" applyFont="1" applyFill="1" applyBorder="1" applyAlignment="1">
      <alignment horizontal="center" vertical="center" wrapText="1"/>
    </xf>
    <xf numFmtId="3" fontId="13" fillId="3" borderId="17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left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3" fontId="12" fillId="4" borderId="35" xfId="0" applyNumberFormat="1" applyFont="1" applyFill="1" applyBorder="1" applyAlignment="1">
      <alignment horizontal="center" vertical="center" wrapText="1"/>
    </xf>
    <xf numFmtId="3" fontId="12" fillId="4" borderId="36" xfId="0" applyNumberFormat="1" applyFont="1" applyFill="1" applyBorder="1" applyAlignment="1">
      <alignment horizontal="center" vertical="center" wrapText="1"/>
    </xf>
    <xf numFmtId="3" fontId="12" fillId="4" borderId="37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2" fillId="3" borderId="16" xfId="0" applyNumberFormat="1" applyFont="1" applyFill="1" applyBorder="1" applyAlignment="1">
      <alignment horizontal="center" vertical="center" wrapText="1"/>
    </xf>
    <xf numFmtId="3" fontId="12" fillId="5" borderId="4" xfId="0" applyNumberFormat="1" applyFont="1" applyFill="1" applyBorder="1" applyAlignment="1">
      <alignment horizontal="center" vertical="center" wrapText="1"/>
    </xf>
    <xf numFmtId="3" fontId="12" fillId="5" borderId="5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4" fontId="12" fillId="4" borderId="35" xfId="0" applyNumberFormat="1" applyFont="1" applyFill="1" applyBorder="1" applyAlignment="1">
      <alignment horizontal="center" vertical="center" wrapText="1"/>
    </xf>
    <xf numFmtId="4" fontId="12" fillId="4" borderId="36" xfId="0" applyNumberFormat="1" applyFont="1" applyFill="1" applyBorder="1" applyAlignment="1">
      <alignment horizontal="center" vertical="center" wrapText="1"/>
    </xf>
    <xf numFmtId="4" fontId="12" fillId="4" borderId="37" xfId="0" applyNumberFormat="1" applyFont="1" applyFill="1" applyBorder="1" applyAlignment="1">
      <alignment horizontal="center" vertical="center" wrapText="1"/>
    </xf>
    <xf numFmtId="4" fontId="13" fillId="3" borderId="15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3" fillId="3" borderId="16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16" xfId="0" applyNumberFormat="1" applyFont="1" applyFill="1" applyBorder="1" applyAlignment="1">
      <alignment horizontal="center" vertical="center" wrapText="1"/>
    </xf>
    <xf numFmtId="3" fontId="13" fillId="3" borderId="18" xfId="0" applyNumberFormat="1" applyFont="1" applyFill="1" applyBorder="1" applyAlignment="1">
      <alignment horizontal="center" vertical="center" wrapText="1"/>
    </xf>
    <xf numFmtId="3" fontId="13" fillId="3" borderId="19" xfId="0" applyNumberFormat="1" applyFont="1" applyFill="1" applyBorder="1" applyAlignment="1">
      <alignment horizontal="center" vertical="center" wrapText="1"/>
    </xf>
    <xf numFmtId="168" fontId="15" fillId="3" borderId="0" xfId="1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168" fontId="18" fillId="3" borderId="0" xfId="1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4" fontId="19" fillId="3" borderId="0" xfId="1" applyNumberFormat="1" applyFont="1" applyFill="1" applyAlignment="1">
      <alignment horizontal="center" vertical="center" wrapText="1"/>
    </xf>
    <xf numFmtId="4" fontId="19" fillId="3" borderId="0" xfId="0" applyNumberFormat="1" applyFont="1" applyFill="1" applyAlignment="1">
      <alignment horizontal="center" vertical="center" wrapText="1"/>
    </xf>
    <xf numFmtId="4" fontId="19" fillId="0" borderId="0" xfId="1" applyNumberFormat="1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4" fontId="21" fillId="3" borderId="0" xfId="0" applyNumberFormat="1" applyFont="1" applyFill="1" applyAlignment="1">
      <alignment horizontal="center" vertical="center" wrapText="1"/>
    </xf>
    <xf numFmtId="4" fontId="21" fillId="0" borderId="0" xfId="0" applyNumberFormat="1" applyFont="1" applyFill="1" applyAlignment="1">
      <alignment horizontal="center" vertical="center" wrapText="1"/>
    </xf>
    <xf numFmtId="3" fontId="6" fillId="5" borderId="40" xfId="0" applyNumberFormat="1" applyFont="1" applyFill="1" applyBorder="1" applyAlignment="1">
      <alignment horizontal="center" vertical="center" wrapText="1"/>
    </xf>
    <xf numFmtId="4" fontId="6" fillId="5" borderId="9" xfId="0" applyNumberFormat="1" applyFont="1" applyFill="1" applyBorder="1" applyAlignment="1">
      <alignment horizontal="center" vertical="center" wrapText="1"/>
    </xf>
    <xf numFmtId="3" fontId="12" fillId="5" borderId="18" xfId="0" applyNumberFormat="1" applyFont="1" applyFill="1" applyBorder="1" applyAlignment="1">
      <alignment horizontal="center" vertical="center" wrapText="1"/>
    </xf>
    <xf numFmtId="3" fontId="12" fillId="5" borderId="19" xfId="0" applyNumberFormat="1" applyFont="1" applyFill="1" applyBorder="1" applyAlignment="1">
      <alignment horizontal="center" vertical="center" wrapText="1"/>
    </xf>
    <xf numFmtId="3" fontId="12" fillId="5" borderId="17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3" fontId="12" fillId="8" borderId="15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vertical="center" wrapText="1"/>
    </xf>
    <xf numFmtId="4" fontId="9" fillId="3" borderId="0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center" vertical="center" wrapText="1"/>
    </xf>
    <xf numFmtId="4" fontId="22" fillId="3" borderId="14" xfId="0" applyNumberFormat="1" applyFont="1" applyFill="1" applyBorder="1" applyAlignment="1">
      <alignment horizontal="center" vertical="center" wrapText="1"/>
    </xf>
    <xf numFmtId="4" fontId="22" fillId="3" borderId="11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4" fontId="9" fillId="3" borderId="0" xfId="0" applyNumberFormat="1" applyFont="1" applyFill="1" applyAlignment="1">
      <alignment vertical="center" wrapText="1"/>
    </xf>
    <xf numFmtId="4" fontId="23" fillId="8" borderId="0" xfId="0" applyNumberFormat="1" applyFont="1" applyFill="1" applyAlignment="1">
      <alignment vertical="center" wrapText="1"/>
    </xf>
    <xf numFmtId="3" fontId="9" fillId="3" borderId="9" xfId="0" applyNumberFormat="1" applyFont="1" applyFill="1" applyBorder="1" applyAlignment="1">
      <alignment horizontal="left" vertical="center" wrapText="1"/>
    </xf>
    <xf numFmtId="3" fontId="6" fillId="5" borderId="40" xfId="0" applyNumberFormat="1" applyFont="1" applyFill="1" applyBorder="1" applyAlignment="1">
      <alignment horizontal="left" vertical="center" wrapText="1"/>
    </xf>
    <xf numFmtId="3" fontId="6" fillId="5" borderId="6" xfId="0" applyNumberFormat="1" applyFont="1" applyFill="1" applyBorder="1" applyAlignment="1">
      <alignment horizontal="left" vertical="center" wrapText="1"/>
    </xf>
    <xf numFmtId="3" fontId="12" fillId="9" borderId="3" xfId="0" applyNumberFormat="1" applyFont="1" applyFill="1" applyBorder="1" applyAlignment="1">
      <alignment horizontal="center" vertical="center" wrapText="1"/>
    </xf>
    <xf numFmtId="3" fontId="12" fillId="9" borderId="1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</cellXfs>
  <cellStyles count="7">
    <cellStyle name="Comma" xfId="1" builtinId="3"/>
    <cellStyle name="Good 2" xfId="3"/>
    <cellStyle name="Normal" xfId="0" builtinId="0"/>
    <cellStyle name="Normal 2" xfId="4"/>
    <cellStyle name="Normal 2 2" xfId="5"/>
    <cellStyle name="Normal 3" xfId="6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.qvatadze/Desktop/2019%20&#4328;&#4308;&#4321;&#4320;&#4323;&#4314;&#4308;&#4305;&#4304;/2019%20&#4306;&#4308;&#4306;&#4315;&#4308;&#4305;&#4312;/2019%20-%20&#4313;&#4309;&#4304;&#4320;&#4322;&#4304;&#4314;&#4323;&#4320;&#4312;%20&#4306;&#4308;&#4306;&#4315;&#4308;&#4305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ზუსტებული-chemi"/>
      <sheetName val="სატენდერო 1"/>
      <sheetName val="სატენდერო 2"/>
      <sheetName val="სატენდერო 3"/>
      <sheetName val="სატენდერო 4"/>
      <sheetName val="სატენდეროsul"/>
      <sheetName val="სატენდეროsul (2)"/>
    </sheetNames>
    <sheetDataSet>
      <sheetData sheetId="0">
        <row r="2">
          <cell r="D2">
            <v>41059000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BJ88"/>
  <sheetViews>
    <sheetView tabSelected="1" view="pageBreakPreview" topLeftCell="C1" zoomScale="70" zoomScaleNormal="70" zoomScaleSheetLayoutView="70" workbookViewId="0">
      <pane xSplit="6" ySplit="4" topLeftCell="I37" activePane="bottomRight" state="frozen"/>
      <selection activeCell="C1" sqref="C1"/>
      <selection pane="topRight" activeCell="I1" sqref="I1"/>
      <selection pane="bottomLeft" activeCell="C5" sqref="C5"/>
      <selection pane="bottomRight" activeCell="G54" sqref="G54"/>
    </sheetView>
  </sheetViews>
  <sheetFormatPr defaultRowHeight="15" x14ac:dyDescent="0.25"/>
  <cols>
    <col min="1" max="1" width="1.140625" style="3" customWidth="1"/>
    <col min="2" max="2" width="16.28515625" style="2" customWidth="1"/>
    <col min="3" max="3" width="77.7109375" style="2" customWidth="1"/>
    <col min="4" max="5" width="21.85546875" style="2" customWidth="1"/>
    <col min="6" max="8" width="19.42578125" style="2" customWidth="1"/>
    <col min="9" max="56" width="17.28515625" style="2" customWidth="1"/>
    <col min="57" max="57" width="9.42578125" style="2" customWidth="1"/>
    <col min="58" max="58" width="25" style="98" customWidth="1"/>
    <col min="59" max="59" width="25" style="99" customWidth="1"/>
    <col min="60" max="60" width="22.28515625" style="106" customWidth="1"/>
    <col min="61" max="62" width="18.42578125" style="106" customWidth="1"/>
    <col min="63" max="184" width="9" style="3"/>
    <col min="185" max="185" width="3.140625" style="3" customWidth="1"/>
    <col min="186" max="186" width="13.42578125" style="3" customWidth="1"/>
    <col min="187" max="187" width="26.28515625" style="3" customWidth="1"/>
    <col min="188" max="189" width="17.7109375" style="3" customWidth="1"/>
    <col min="190" max="190" width="20.7109375" style="3" customWidth="1"/>
    <col min="191" max="192" width="14.7109375" style="3" customWidth="1"/>
    <col min="193" max="193" width="16.42578125" style="3" customWidth="1"/>
    <col min="194" max="195" width="14.7109375" style="3" customWidth="1"/>
    <col min="196" max="196" width="16.7109375" style="3" customWidth="1"/>
    <col min="197" max="198" width="14.7109375" style="3" customWidth="1"/>
    <col min="199" max="199" width="16.7109375" style="3" customWidth="1"/>
    <col min="200" max="201" width="14.7109375" style="3" customWidth="1"/>
    <col min="202" max="202" width="16.140625" style="3" customWidth="1"/>
    <col min="203" max="204" width="14.7109375" style="3" customWidth="1"/>
    <col min="205" max="205" width="15.7109375" style="3" customWidth="1"/>
    <col min="206" max="207" width="14.7109375" style="3" customWidth="1"/>
    <col min="208" max="208" width="16.7109375" style="3" customWidth="1"/>
    <col min="209" max="210" width="14.7109375" style="3" customWidth="1"/>
    <col min="211" max="211" width="17.7109375" style="3" customWidth="1"/>
    <col min="212" max="213" width="14.7109375" style="3" customWidth="1"/>
    <col min="214" max="214" width="16.7109375" style="3" customWidth="1"/>
    <col min="215" max="219" width="14.7109375" style="3" customWidth="1"/>
    <col min="220" max="220" width="16.5703125" style="3" customWidth="1"/>
    <col min="221" max="221" width="14.28515625" style="3" customWidth="1"/>
    <col min="222" max="222" width="15" style="3" customWidth="1"/>
    <col min="223" max="223" width="16.5703125" style="3" customWidth="1"/>
    <col min="224" max="225" width="14.7109375" style="3" customWidth="1"/>
    <col min="226" max="226" width="16.7109375" style="3" customWidth="1"/>
    <col min="227" max="228" width="14.7109375" style="3" customWidth="1"/>
    <col min="229" max="229" width="16.5703125" style="3" customWidth="1"/>
    <col min="230" max="230" width="18.140625" style="3" customWidth="1"/>
    <col min="231" max="440" width="9" style="3"/>
    <col min="441" max="441" width="3.140625" style="3" customWidth="1"/>
    <col min="442" max="442" width="13.42578125" style="3" customWidth="1"/>
    <col min="443" max="443" width="26.28515625" style="3" customWidth="1"/>
    <col min="444" max="445" width="17.7109375" style="3" customWidth="1"/>
    <col min="446" max="446" width="20.7109375" style="3" customWidth="1"/>
    <col min="447" max="448" width="14.7109375" style="3" customWidth="1"/>
    <col min="449" max="449" width="16.42578125" style="3" customWidth="1"/>
    <col min="450" max="451" width="14.7109375" style="3" customWidth="1"/>
    <col min="452" max="452" width="16.7109375" style="3" customWidth="1"/>
    <col min="453" max="454" width="14.7109375" style="3" customWidth="1"/>
    <col min="455" max="455" width="16.7109375" style="3" customWidth="1"/>
    <col min="456" max="457" width="14.7109375" style="3" customWidth="1"/>
    <col min="458" max="458" width="16.140625" style="3" customWidth="1"/>
    <col min="459" max="460" width="14.7109375" style="3" customWidth="1"/>
    <col min="461" max="461" width="15.7109375" style="3" customWidth="1"/>
    <col min="462" max="463" width="14.7109375" style="3" customWidth="1"/>
    <col min="464" max="464" width="16.7109375" style="3" customWidth="1"/>
    <col min="465" max="466" width="14.7109375" style="3" customWidth="1"/>
    <col min="467" max="467" width="17.7109375" style="3" customWidth="1"/>
    <col min="468" max="469" width="14.7109375" style="3" customWidth="1"/>
    <col min="470" max="470" width="16.7109375" style="3" customWidth="1"/>
    <col min="471" max="475" width="14.7109375" style="3" customWidth="1"/>
    <col min="476" max="476" width="16.5703125" style="3" customWidth="1"/>
    <col min="477" max="477" width="14.28515625" style="3" customWidth="1"/>
    <col min="478" max="478" width="15" style="3" customWidth="1"/>
    <col min="479" max="479" width="16.5703125" style="3" customWidth="1"/>
    <col min="480" max="481" width="14.7109375" style="3" customWidth="1"/>
    <col min="482" max="482" width="16.7109375" style="3" customWidth="1"/>
    <col min="483" max="484" width="14.7109375" style="3" customWidth="1"/>
    <col min="485" max="485" width="16.5703125" style="3" customWidth="1"/>
    <col min="486" max="486" width="18.140625" style="3" customWidth="1"/>
    <col min="487" max="696" width="9" style="3"/>
    <col min="697" max="697" width="3.140625" style="3" customWidth="1"/>
    <col min="698" max="698" width="13.42578125" style="3" customWidth="1"/>
    <col min="699" max="699" width="26.28515625" style="3" customWidth="1"/>
    <col min="700" max="701" width="17.7109375" style="3" customWidth="1"/>
    <col min="702" max="702" width="20.7109375" style="3" customWidth="1"/>
    <col min="703" max="704" width="14.7109375" style="3" customWidth="1"/>
    <col min="705" max="705" width="16.42578125" style="3" customWidth="1"/>
    <col min="706" max="707" width="14.7109375" style="3" customWidth="1"/>
    <col min="708" max="708" width="16.7109375" style="3" customWidth="1"/>
    <col min="709" max="710" width="14.7109375" style="3" customWidth="1"/>
    <col min="711" max="711" width="16.7109375" style="3" customWidth="1"/>
    <col min="712" max="713" width="14.7109375" style="3" customWidth="1"/>
    <col min="714" max="714" width="16.140625" style="3" customWidth="1"/>
    <col min="715" max="716" width="14.7109375" style="3" customWidth="1"/>
    <col min="717" max="717" width="15.7109375" style="3" customWidth="1"/>
    <col min="718" max="719" width="14.7109375" style="3" customWidth="1"/>
    <col min="720" max="720" width="16.7109375" style="3" customWidth="1"/>
    <col min="721" max="722" width="14.7109375" style="3" customWidth="1"/>
    <col min="723" max="723" width="17.7109375" style="3" customWidth="1"/>
    <col min="724" max="725" width="14.7109375" style="3" customWidth="1"/>
    <col min="726" max="726" width="16.7109375" style="3" customWidth="1"/>
    <col min="727" max="731" width="14.7109375" style="3" customWidth="1"/>
    <col min="732" max="732" width="16.5703125" style="3" customWidth="1"/>
    <col min="733" max="733" width="14.28515625" style="3" customWidth="1"/>
    <col min="734" max="734" width="15" style="3" customWidth="1"/>
    <col min="735" max="735" width="16.5703125" style="3" customWidth="1"/>
    <col min="736" max="737" width="14.7109375" style="3" customWidth="1"/>
    <col min="738" max="738" width="16.7109375" style="3" customWidth="1"/>
    <col min="739" max="740" width="14.7109375" style="3" customWidth="1"/>
    <col min="741" max="741" width="16.5703125" style="3" customWidth="1"/>
    <col min="742" max="742" width="18.140625" style="3" customWidth="1"/>
    <col min="743" max="952" width="9" style="3"/>
    <col min="953" max="953" width="3.140625" style="3" customWidth="1"/>
    <col min="954" max="954" width="13.42578125" style="3" customWidth="1"/>
    <col min="955" max="955" width="26.28515625" style="3" customWidth="1"/>
    <col min="956" max="957" width="17.7109375" style="3" customWidth="1"/>
    <col min="958" max="958" width="20.7109375" style="3" customWidth="1"/>
    <col min="959" max="960" width="14.7109375" style="3" customWidth="1"/>
    <col min="961" max="961" width="16.42578125" style="3" customWidth="1"/>
    <col min="962" max="963" width="14.7109375" style="3" customWidth="1"/>
    <col min="964" max="964" width="16.7109375" style="3" customWidth="1"/>
    <col min="965" max="966" width="14.7109375" style="3" customWidth="1"/>
    <col min="967" max="967" width="16.7109375" style="3" customWidth="1"/>
    <col min="968" max="969" width="14.7109375" style="3" customWidth="1"/>
    <col min="970" max="970" width="16.140625" style="3" customWidth="1"/>
    <col min="971" max="972" width="14.7109375" style="3" customWidth="1"/>
    <col min="973" max="973" width="15.7109375" style="3" customWidth="1"/>
    <col min="974" max="975" width="14.7109375" style="3" customWidth="1"/>
    <col min="976" max="976" width="16.7109375" style="3" customWidth="1"/>
    <col min="977" max="978" width="14.7109375" style="3" customWidth="1"/>
    <col min="979" max="979" width="17.7109375" style="3" customWidth="1"/>
    <col min="980" max="981" width="14.7109375" style="3" customWidth="1"/>
    <col min="982" max="982" width="16.7109375" style="3" customWidth="1"/>
    <col min="983" max="987" width="14.7109375" style="3" customWidth="1"/>
    <col min="988" max="988" width="16.5703125" style="3" customWidth="1"/>
    <col min="989" max="989" width="14.28515625" style="3" customWidth="1"/>
    <col min="990" max="990" width="15" style="3" customWidth="1"/>
    <col min="991" max="991" width="16.5703125" style="3" customWidth="1"/>
    <col min="992" max="993" width="14.7109375" style="3" customWidth="1"/>
    <col min="994" max="994" width="16.7109375" style="3" customWidth="1"/>
    <col min="995" max="996" width="14.7109375" style="3" customWidth="1"/>
    <col min="997" max="997" width="16.5703125" style="3" customWidth="1"/>
    <col min="998" max="998" width="18.140625" style="3" customWidth="1"/>
    <col min="999" max="1208" width="9" style="3"/>
    <col min="1209" max="1209" width="3.140625" style="3" customWidth="1"/>
    <col min="1210" max="1210" width="13.42578125" style="3" customWidth="1"/>
    <col min="1211" max="1211" width="26.28515625" style="3" customWidth="1"/>
    <col min="1212" max="1213" width="17.7109375" style="3" customWidth="1"/>
    <col min="1214" max="1214" width="20.7109375" style="3" customWidth="1"/>
    <col min="1215" max="1216" width="14.7109375" style="3" customWidth="1"/>
    <col min="1217" max="1217" width="16.42578125" style="3" customWidth="1"/>
    <col min="1218" max="1219" width="14.7109375" style="3" customWidth="1"/>
    <col min="1220" max="1220" width="16.7109375" style="3" customWidth="1"/>
    <col min="1221" max="1222" width="14.7109375" style="3" customWidth="1"/>
    <col min="1223" max="1223" width="16.7109375" style="3" customWidth="1"/>
    <col min="1224" max="1225" width="14.7109375" style="3" customWidth="1"/>
    <col min="1226" max="1226" width="16.140625" style="3" customWidth="1"/>
    <col min="1227" max="1228" width="14.7109375" style="3" customWidth="1"/>
    <col min="1229" max="1229" width="15.7109375" style="3" customWidth="1"/>
    <col min="1230" max="1231" width="14.7109375" style="3" customWidth="1"/>
    <col min="1232" max="1232" width="16.7109375" style="3" customWidth="1"/>
    <col min="1233" max="1234" width="14.7109375" style="3" customWidth="1"/>
    <col min="1235" max="1235" width="17.7109375" style="3" customWidth="1"/>
    <col min="1236" max="1237" width="14.7109375" style="3" customWidth="1"/>
    <col min="1238" max="1238" width="16.7109375" style="3" customWidth="1"/>
    <col min="1239" max="1243" width="14.7109375" style="3" customWidth="1"/>
    <col min="1244" max="1244" width="16.5703125" style="3" customWidth="1"/>
    <col min="1245" max="1245" width="14.28515625" style="3" customWidth="1"/>
    <col min="1246" max="1246" width="15" style="3" customWidth="1"/>
    <col min="1247" max="1247" width="16.5703125" style="3" customWidth="1"/>
    <col min="1248" max="1249" width="14.7109375" style="3" customWidth="1"/>
    <col min="1250" max="1250" width="16.7109375" style="3" customWidth="1"/>
    <col min="1251" max="1252" width="14.7109375" style="3" customWidth="1"/>
    <col min="1253" max="1253" width="16.5703125" style="3" customWidth="1"/>
    <col min="1254" max="1254" width="18.140625" style="3" customWidth="1"/>
    <col min="1255" max="1464" width="9" style="3"/>
    <col min="1465" max="1465" width="3.140625" style="3" customWidth="1"/>
    <col min="1466" max="1466" width="13.42578125" style="3" customWidth="1"/>
    <col min="1467" max="1467" width="26.28515625" style="3" customWidth="1"/>
    <col min="1468" max="1469" width="17.7109375" style="3" customWidth="1"/>
    <col min="1470" max="1470" width="20.7109375" style="3" customWidth="1"/>
    <col min="1471" max="1472" width="14.7109375" style="3" customWidth="1"/>
    <col min="1473" max="1473" width="16.42578125" style="3" customWidth="1"/>
    <col min="1474" max="1475" width="14.7109375" style="3" customWidth="1"/>
    <col min="1476" max="1476" width="16.7109375" style="3" customWidth="1"/>
    <col min="1477" max="1478" width="14.7109375" style="3" customWidth="1"/>
    <col min="1479" max="1479" width="16.7109375" style="3" customWidth="1"/>
    <col min="1480" max="1481" width="14.7109375" style="3" customWidth="1"/>
    <col min="1482" max="1482" width="16.140625" style="3" customWidth="1"/>
    <col min="1483" max="1484" width="14.7109375" style="3" customWidth="1"/>
    <col min="1485" max="1485" width="15.7109375" style="3" customWidth="1"/>
    <col min="1486" max="1487" width="14.7109375" style="3" customWidth="1"/>
    <col min="1488" max="1488" width="16.7109375" style="3" customWidth="1"/>
    <col min="1489" max="1490" width="14.7109375" style="3" customWidth="1"/>
    <col min="1491" max="1491" width="17.7109375" style="3" customWidth="1"/>
    <col min="1492" max="1493" width="14.7109375" style="3" customWidth="1"/>
    <col min="1494" max="1494" width="16.7109375" style="3" customWidth="1"/>
    <col min="1495" max="1499" width="14.7109375" style="3" customWidth="1"/>
    <col min="1500" max="1500" width="16.5703125" style="3" customWidth="1"/>
    <col min="1501" max="1501" width="14.28515625" style="3" customWidth="1"/>
    <col min="1502" max="1502" width="15" style="3" customWidth="1"/>
    <col min="1503" max="1503" width="16.5703125" style="3" customWidth="1"/>
    <col min="1504" max="1505" width="14.7109375" style="3" customWidth="1"/>
    <col min="1506" max="1506" width="16.7109375" style="3" customWidth="1"/>
    <col min="1507" max="1508" width="14.7109375" style="3" customWidth="1"/>
    <col min="1509" max="1509" width="16.5703125" style="3" customWidth="1"/>
    <col min="1510" max="1510" width="18.140625" style="3" customWidth="1"/>
    <col min="1511" max="1720" width="9" style="3"/>
    <col min="1721" max="1721" width="3.140625" style="3" customWidth="1"/>
    <col min="1722" max="1722" width="13.42578125" style="3" customWidth="1"/>
    <col min="1723" max="1723" width="26.28515625" style="3" customWidth="1"/>
    <col min="1724" max="1725" width="17.7109375" style="3" customWidth="1"/>
    <col min="1726" max="1726" width="20.7109375" style="3" customWidth="1"/>
    <col min="1727" max="1728" width="14.7109375" style="3" customWidth="1"/>
    <col min="1729" max="1729" width="16.42578125" style="3" customWidth="1"/>
    <col min="1730" max="1731" width="14.7109375" style="3" customWidth="1"/>
    <col min="1732" max="1732" width="16.7109375" style="3" customWidth="1"/>
    <col min="1733" max="1734" width="14.7109375" style="3" customWidth="1"/>
    <col min="1735" max="1735" width="16.7109375" style="3" customWidth="1"/>
    <col min="1736" max="1737" width="14.7109375" style="3" customWidth="1"/>
    <col min="1738" max="1738" width="16.140625" style="3" customWidth="1"/>
    <col min="1739" max="1740" width="14.7109375" style="3" customWidth="1"/>
    <col min="1741" max="1741" width="15.7109375" style="3" customWidth="1"/>
    <col min="1742" max="1743" width="14.7109375" style="3" customWidth="1"/>
    <col min="1744" max="1744" width="16.7109375" style="3" customWidth="1"/>
    <col min="1745" max="1746" width="14.7109375" style="3" customWidth="1"/>
    <col min="1747" max="1747" width="17.7109375" style="3" customWidth="1"/>
    <col min="1748" max="1749" width="14.7109375" style="3" customWidth="1"/>
    <col min="1750" max="1750" width="16.7109375" style="3" customWidth="1"/>
    <col min="1751" max="1755" width="14.7109375" style="3" customWidth="1"/>
    <col min="1756" max="1756" width="16.5703125" style="3" customWidth="1"/>
    <col min="1757" max="1757" width="14.28515625" style="3" customWidth="1"/>
    <col min="1758" max="1758" width="15" style="3" customWidth="1"/>
    <col min="1759" max="1759" width="16.5703125" style="3" customWidth="1"/>
    <col min="1760" max="1761" width="14.7109375" style="3" customWidth="1"/>
    <col min="1762" max="1762" width="16.7109375" style="3" customWidth="1"/>
    <col min="1763" max="1764" width="14.7109375" style="3" customWidth="1"/>
    <col min="1765" max="1765" width="16.5703125" style="3" customWidth="1"/>
    <col min="1766" max="1766" width="18.140625" style="3" customWidth="1"/>
    <col min="1767" max="1976" width="9" style="3"/>
    <col min="1977" max="1977" width="3.140625" style="3" customWidth="1"/>
    <col min="1978" max="1978" width="13.42578125" style="3" customWidth="1"/>
    <col min="1979" max="1979" width="26.28515625" style="3" customWidth="1"/>
    <col min="1980" max="1981" width="17.7109375" style="3" customWidth="1"/>
    <col min="1982" max="1982" width="20.7109375" style="3" customWidth="1"/>
    <col min="1983" max="1984" width="14.7109375" style="3" customWidth="1"/>
    <col min="1985" max="1985" width="16.42578125" style="3" customWidth="1"/>
    <col min="1986" max="1987" width="14.7109375" style="3" customWidth="1"/>
    <col min="1988" max="1988" width="16.7109375" style="3" customWidth="1"/>
    <col min="1989" max="1990" width="14.7109375" style="3" customWidth="1"/>
    <col min="1991" max="1991" width="16.7109375" style="3" customWidth="1"/>
    <col min="1992" max="1993" width="14.7109375" style="3" customWidth="1"/>
    <col min="1994" max="1994" width="16.140625" style="3" customWidth="1"/>
    <col min="1995" max="1996" width="14.7109375" style="3" customWidth="1"/>
    <col min="1997" max="1997" width="15.7109375" style="3" customWidth="1"/>
    <col min="1998" max="1999" width="14.7109375" style="3" customWidth="1"/>
    <col min="2000" max="2000" width="16.7109375" style="3" customWidth="1"/>
    <col min="2001" max="2002" width="14.7109375" style="3" customWidth="1"/>
    <col min="2003" max="2003" width="17.7109375" style="3" customWidth="1"/>
    <col min="2004" max="2005" width="14.7109375" style="3" customWidth="1"/>
    <col min="2006" max="2006" width="16.7109375" style="3" customWidth="1"/>
    <col min="2007" max="2011" width="14.7109375" style="3" customWidth="1"/>
    <col min="2012" max="2012" width="16.5703125" style="3" customWidth="1"/>
    <col min="2013" max="2013" width="14.28515625" style="3" customWidth="1"/>
    <col min="2014" max="2014" width="15" style="3" customWidth="1"/>
    <col min="2015" max="2015" width="16.5703125" style="3" customWidth="1"/>
    <col min="2016" max="2017" width="14.7109375" style="3" customWidth="1"/>
    <col min="2018" max="2018" width="16.7109375" style="3" customWidth="1"/>
    <col min="2019" max="2020" width="14.7109375" style="3" customWidth="1"/>
    <col min="2021" max="2021" width="16.5703125" style="3" customWidth="1"/>
    <col min="2022" max="2022" width="18.140625" style="3" customWidth="1"/>
    <col min="2023" max="2232" width="9" style="3"/>
    <col min="2233" max="2233" width="3.140625" style="3" customWidth="1"/>
    <col min="2234" max="2234" width="13.42578125" style="3" customWidth="1"/>
    <col min="2235" max="2235" width="26.28515625" style="3" customWidth="1"/>
    <col min="2236" max="2237" width="17.7109375" style="3" customWidth="1"/>
    <col min="2238" max="2238" width="20.7109375" style="3" customWidth="1"/>
    <col min="2239" max="2240" width="14.7109375" style="3" customWidth="1"/>
    <col min="2241" max="2241" width="16.42578125" style="3" customWidth="1"/>
    <col min="2242" max="2243" width="14.7109375" style="3" customWidth="1"/>
    <col min="2244" max="2244" width="16.7109375" style="3" customWidth="1"/>
    <col min="2245" max="2246" width="14.7109375" style="3" customWidth="1"/>
    <col min="2247" max="2247" width="16.7109375" style="3" customWidth="1"/>
    <col min="2248" max="2249" width="14.7109375" style="3" customWidth="1"/>
    <col min="2250" max="2250" width="16.140625" style="3" customWidth="1"/>
    <col min="2251" max="2252" width="14.7109375" style="3" customWidth="1"/>
    <col min="2253" max="2253" width="15.7109375" style="3" customWidth="1"/>
    <col min="2254" max="2255" width="14.7109375" style="3" customWidth="1"/>
    <col min="2256" max="2256" width="16.7109375" style="3" customWidth="1"/>
    <col min="2257" max="2258" width="14.7109375" style="3" customWidth="1"/>
    <col min="2259" max="2259" width="17.7109375" style="3" customWidth="1"/>
    <col min="2260" max="2261" width="14.7109375" style="3" customWidth="1"/>
    <col min="2262" max="2262" width="16.7109375" style="3" customWidth="1"/>
    <col min="2263" max="2267" width="14.7109375" style="3" customWidth="1"/>
    <col min="2268" max="2268" width="16.5703125" style="3" customWidth="1"/>
    <col min="2269" max="2269" width="14.28515625" style="3" customWidth="1"/>
    <col min="2270" max="2270" width="15" style="3" customWidth="1"/>
    <col min="2271" max="2271" width="16.5703125" style="3" customWidth="1"/>
    <col min="2272" max="2273" width="14.7109375" style="3" customWidth="1"/>
    <col min="2274" max="2274" width="16.7109375" style="3" customWidth="1"/>
    <col min="2275" max="2276" width="14.7109375" style="3" customWidth="1"/>
    <col min="2277" max="2277" width="16.5703125" style="3" customWidth="1"/>
    <col min="2278" max="2278" width="18.140625" style="3" customWidth="1"/>
    <col min="2279" max="2488" width="9" style="3"/>
    <col min="2489" max="2489" width="3.140625" style="3" customWidth="1"/>
    <col min="2490" max="2490" width="13.42578125" style="3" customWidth="1"/>
    <col min="2491" max="2491" width="26.28515625" style="3" customWidth="1"/>
    <col min="2492" max="2493" width="17.7109375" style="3" customWidth="1"/>
    <col min="2494" max="2494" width="20.7109375" style="3" customWidth="1"/>
    <col min="2495" max="2496" width="14.7109375" style="3" customWidth="1"/>
    <col min="2497" max="2497" width="16.42578125" style="3" customWidth="1"/>
    <col min="2498" max="2499" width="14.7109375" style="3" customWidth="1"/>
    <col min="2500" max="2500" width="16.7109375" style="3" customWidth="1"/>
    <col min="2501" max="2502" width="14.7109375" style="3" customWidth="1"/>
    <col min="2503" max="2503" width="16.7109375" style="3" customWidth="1"/>
    <col min="2504" max="2505" width="14.7109375" style="3" customWidth="1"/>
    <col min="2506" max="2506" width="16.140625" style="3" customWidth="1"/>
    <col min="2507" max="2508" width="14.7109375" style="3" customWidth="1"/>
    <col min="2509" max="2509" width="15.7109375" style="3" customWidth="1"/>
    <col min="2510" max="2511" width="14.7109375" style="3" customWidth="1"/>
    <col min="2512" max="2512" width="16.7109375" style="3" customWidth="1"/>
    <col min="2513" max="2514" width="14.7109375" style="3" customWidth="1"/>
    <col min="2515" max="2515" width="17.7109375" style="3" customWidth="1"/>
    <col min="2516" max="2517" width="14.7109375" style="3" customWidth="1"/>
    <col min="2518" max="2518" width="16.7109375" style="3" customWidth="1"/>
    <col min="2519" max="2523" width="14.7109375" style="3" customWidth="1"/>
    <col min="2524" max="2524" width="16.5703125" style="3" customWidth="1"/>
    <col min="2525" max="2525" width="14.28515625" style="3" customWidth="1"/>
    <col min="2526" max="2526" width="15" style="3" customWidth="1"/>
    <col min="2527" max="2527" width="16.5703125" style="3" customWidth="1"/>
    <col min="2528" max="2529" width="14.7109375" style="3" customWidth="1"/>
    <col min="2530" max="2530" width="16.7109375" style="3" customWidth="1"/>
    <col min="2531" max="2532" width="14.7109375" style="3" customWidth="1"/>
    <col min="2533" max="2533" width="16.5703125" style="3" customWidth="1"/>
    <col min="2534" max="2534" width="18.140625" style="3" customWidth="1"/>
    <col min="2535" max="2744" width="9" style="3"/>
    <col min="2745" max="2745" width="3.140625" style="3" customWidth="1"/>
    <col min="2746" max="2746" width="13.42578125" style="3" customWidth="1"/>
    <col min="2747" max="2747" width="26.28515625" style="3" customWidth="1"/>
    <col min="2748" max="2749" width="17.7109375" style="3" customWidth="1"/>
    <col min="2750" max="2750" width="20.7109375" style="3" customWidth="1"/>
    <col min="2751" max="2752" width="14.7109375" style="3" customWidth="1"/>
    <col min="2753" max="2753" width="16.42578125" style="3" customWidth="1"/>
    <col min="2754" max="2755" width="14.7109375" style="3" customWidth="1"/>
    <col min="2756" max="2756" width="16.7109375" style="3" customWidth="1"/>
    <col min="2757" max="2758" width="14.7109375" style="3" customWidth="1"/>
    <col min="2759" max="2759" width="16.7109375" style="3" customWidth="1"/>
    <col min="2760" max="2761" width="14.7109375" style="3" customWidth="1"/>
    <col min="2762" max="2762" width="16.140625" style="3" customWidth="1"/>
    <col min="2763" max="2764" width="14.7109375" style="3" customWidth="1"/>
    <col min="2765" max="2765" width="15.7109375" style="3" customWidth="1"/>
    <col min="2766" max="2767" width="14.7109375" style="3" customWidth="1"/>
    <col min="2768" max="2768" width="16.7109375" style="3" customWidth="1"/>
    <col min="2769" max="2770" width="14.7109375" style="3" customWidth="1"/>
    <col min="2771" max="2771" width="17.7109375" style="3" customWidth="1"/>
    <col min="2772" max="2773" width="14.7109375" style="3" customWidth="1"/>
    <col min="2774" max="2774" width="16.7109375" style="3" customWidth="1"/>
    <col min="2775" max="2779" width="14.7109375" style="3" customWidth="1"/>
    <col min="2780" max="2780" width="16.5703125" style="3" customWidth="1"/>
    <col min="2781" max="2781" width="14.28515625" style="3" customWidth="1"/>
    <col min="2782" max="2782" width="15" style="3" customWidth="1"/>
    <col min="2783" max="2783" width="16.5703125" style="3" customWidth="1"/>
    <col min="2784" max="2785" width="14.7109375" style="3" customWidth="1"/>
    <col min="2786" max="2786" width="16.7109375" style="3" customWidth="1"/>
    <col min="2787" max="2788" width="14.7109375" style="3" customWidth="1"/>
    <col min="2789" max="2789" width="16.5703125" style="3" customWidth="1"/>
    <col min="2790" max="2790" width="18.140625" style="3" customWidth="1"/>
    <col min="2791" max="3000" width="9" style="3"/>
    <col min="3001" max="3001" width="3.140625" style="3" customWidth="1"/>
    <col min="3002" max="3002" width="13.42578125" style="3" customWidth="1"/>
    <col min="3003" max="3003" width="26.28515625" style="3" customWidth="1"/>
    <col min="3004" max="3005" width="17.7109375" style="3" customWidth="1"/>
    <col min="3006" max="3006" width="20.7109375" style="3" customWidth="1"/>
    <col min="3007" max="3008" width="14.7109375" style="3" customWidth="1"/>
    <col min="3009" max="3009" width="16.42578125" style="3" customWidth="1"/>
    <col min="3010" max="3011" width="14.7109375" style="3" customWidth="1"/>
    <col min="3012" max="3012" width="16.7109375" style="3" customWidth="1"/>
    <col min="3013" max="3014" width="14.7109375" style="3" customWidth="1"/>
    <col min="3015" max="3015" width="16.7109375" style="3" customWidth="1"/>
    <col min="3016" max="3017" width="14.7109375" style="3" customWidth="1"/>
    <col min="3018" max="3018" width="16.140625" style="3" customWidth="1"/>
    <col min="3019" max="3020" width="14.7109375" style="3" customWidth="1"/>
    <col min="3021" max="3021" width="15.7109375" style="3" customWidth="1"/>
    <col min="3022" max="3023" width="14.7109375" style="3" customWidth="1"/>
    <col min="3024" max="3024" width="16.7109375" style="3" customWidth="1"/>
    <col min="3025" max="3026" width="14.7109375" style="3" customWidth="1"/>
    <col min="3027" max="3027" width="17.7109375" style="3" customWidth="1"/>
    <col min="3028" max="3029" width="14.7109375" style="3" customWidth="1"/>
    <col min="3030" max="3030" width="16.7109375" style="3" customWidth="1"/>
    <col min="3031" max="3035" width="14.7109375" style="3" customWidth="1"/>
    <col min="3036" max="3036" width="16.5703125" style="3" customWidth="1"/>
    <col min="3037" max="3037" width="14.28515625" style="3" customWidth="1"/>
    <col min="3038" max="3038" width="15" style="3" customWidth="1"/>
    <col min="3039" max="3039" width="16.5703125" style="3" customWidth="1"/>
    <col min="3040" max="3041" width="14.7109375" style="3" customWidth="1"/>
    <col min="3042" max="3042" width="16.7109375" style="3" customWidth="1"/>
    <col min="3043" max="3044" width="14.7109375" style="3" customWidth="1"/>
    <col min="3045" max="3045" width="16.5703125" style="3" customWidth="1"/>
    <col min="3046" max="3046" width="18.140625" style="3" customWidth="1"/>
    <col min="3047" max="3256" width="9" style="3"/>
    <col min="3257" max="3257" width="3.140625" style="3" customWidth="1"/>
    <col min="3258" max="3258" width="13.42578125" style="3" customWidth="1"/>
    <col min="3259" max="3259" width="26.28515625" style="3" customWidth="1"/>
    <col min="3260" max="3261" width="17.7109375" style="3" customWidth="1"/>
    <col min="3262" max="3262" width="20.7109375" style="3" customWidth="1"/>
    <col min="3263" max="3264" width="14.7109375" style="3" customWidth="1"/>
    <col min="3265" max="3265" width="16.42578125" style="3" customWidth="1"/>
    <col min="3266" max="3267" width="14.7109375" style="3" customWidth="1"/>
    <col min="3268" max="3268" width="16.7109375" style="3" customWidth="1"/>
    <col min="3269" max="3270" width="14.7109375" style="3" customWidth="1"/>
    <col min="3271" max="3271" width="16.7109375" style="3" customWidth="1"/>
    <col min="3272" max="3273" width="14.7109375" style="3" customWidth="1"/>
    <col min="3274" max="3274" width="16.140625" style="3" customWidth="1"/>
    <col min="3275" max="3276" width="14.7109375" style="3" customWidth="1"/>
    <col min="3277" max="3277" width="15.7109375" style="3" customWidth="1"/>
    <col min="3278" max="3279" width="14.7109375" style="3" customWidth="1"/>
    <col min="3280" max="3280" width="16.7109375" style="3" customWidth="1"/>
    <col min="3281" max="3282" width="14.7109375" style="3" customWidth="1"/>
    <col min="3283" max="3283" width="17.7109375" style="3" customWidth="1"/>
    <col min="3284" max="3285" width="14.7109375" style="3" customWidth="1"/>
    <col min="3286" max="3286" width="16.7109375" style="3" customWidth="1"/>
    <col min="3287" max="3291" width="14.7109375" style="3" customWidth="1"/>
    <col min="3292" max="3292" width="16.5703125" style="3" customWidth="1"/>
    <col min="3293" max="3293" width="14.28515625" style="3" customWidth="1"/>
    <col min="3294" max="3294" width="15" style="3" customWidth="1"/>
    <col min="3295" max="3295" width="16.5703125" style="3" customWidth="1"/>
    <col min="3296" max="3297" width="14.7109375" style="3" customWidth="1"/>
    <col min="3298" max="3298" width="16.7109375" style="3" customWidth="1"/>
    <col min="3299" max="3300" width="14.7109375" style="3" customWidth="1"/>
    <col min="3301" max="3301" width="16.5703125" style="3" customWidth="1"/>
    <col min="3302" max="3302" width="18.140625" style="3" customWidth="1"/>
    <col min="3303" max="3512" width="9" style="3"/>
    <col min="3513" max="3513" width="3.140625" style="3" customWidth="1"/>
    <col min="3514" max="3514" width="13.42578125" style="3" customWidth="1"/>
    <col min="3515" max="3515" width="26.28515625" style="3" customWidth="1"/>
    <col min="3516" max="3517" width="17.7109375" style="3" customWidth="1"/>
    <col min="3518" max="3518" width="20.7109375" style="3" customWidth="1"/>
    <col min="3519" max="3520" width="14.7109375" style="3" customWidth="1"/>
    <col min="3521" max="3521" width="16.42578125" style="3" customWidth="1"/>
    <col min="3522" max="3523" width="14.7109375" style="3" customWidth="1"/>
    <col min="3524" max="3524" width="16.7109375" style="3" customWidth="1"/>
    <col min="3525" max="3526" width="14.7109375" style="3" customWidth="1"/>
    <col min="3527" max="3527" width="16.7109375" style="3" customWidth="1"/>
    <col min="3528" max="3529" width="14.7109375" style="3" customWidth="1"/>
    <col min="3530" max="3530" width="16.140625" style="3" customWidth="1"/>
    <col min="3531" max="3532" width="14.7109375" style="3" customWidth="1"/>
    <col min="3533" max="3533" width="15.7109375" style="3" customWidth="1"/>
    <col min="3534" max="3535" width="14.7109375" style="3" customWidth="1"/>
    <col min="3536" max="3536" width="16.7109375" style="3" customWidth="1"/>
    <col min="3537" max="3538" width="14.7109375" style="3" customWidth="1"/>
    <col min="3539" max="3539" width="17.7109375" style="3" customWidth="1"/>
    <col min="3540" max="3541" width="14.7109375" style="3" customWidth="1"/>
    <col min="3542" max="3542" width="16.7109375" style="3" customWidth="1"/>
    <col min="3543" max="3547" width="14.7109375" style="3" customWidth="1"/>
    <col min="3548" max="3548" width="16.5703125" style="3" customWidth="1"/>
    <col min="3549" max="3549" width="14.28515625" style="3" customWidth="1"/>
    <col min="3550" max="3550" width="15" style="3" customWidth="1"/>
    <col min="3551" max="3551" width="16.5703125" style="3" customWidth="1"/>
    <col min="3552" max="3553" width="14.7109375" style="3" customWidth="1"/>
    <col min="3554" max="3554" width="16.7109375" style="3" customWidth="1"/>
    <col min="3555" max="3556" width="14.7109375" style="3" customWidth="1"/>
    <col min="3557" max="3557" width="16.5703125" style="3" customWidth="1"/>
    <col min="3558" max="3558" width="18.140625" style="3" customWidth="1"/>
    <col min="3559" max="3768" width="9" style="3"/>
    <col min="3769" max="3769" width="3.140625" style="3" customWidth="1"/>
    <col min="3770" max="3770" width="13.42578125" style="3" customWidth="1"/>
    <col min="3771" max="3771" width="26.28515625" style="3" customWidth="1"/>
    <col min="3772" max="3773" width="17.7109375" style="3" customWidth="1"/>
    <col min="3774" max="3774" width="20.7109375" style="3" customWidth="1"/>
    <col min="3775" max="3776" width="14.7109375" style="3" customWidth="1"/>
    <col min="3777" max="3777" width="16.42578125" style="3" customWidth="1"/>
    <col min="3778" max="3779" width="14.7109375" style="3" customWidth="1"/>
    <col min="3780" max="3780" width="16.7109375" style="3" customWidth="1"/>
    <col min="3781" max="3782" width="14.7109375" style="3" customWidth="1"/>
    <col min="3783" max="3783" width="16.7109375" style="3" customWidth="1"/>
    <col min="3784" max="3785" width="14.7109375" style="3" customWidth="1"/>
    <col min="3786" max="3786" width="16.140625" style="3" customWidth="1"/>
    <col min="3787" max="3788" width="14.7109375" style="3" customWidth="1"/>
    <col min="3789" max="3789" width="15.7109375" style="3" customWidth="1"/>
    <col min="3790" max="3791" width="14.7109375" style="3" customWidth="1"/>
    <col min="3792" max="3792" width="16.7109375" style="3" customWidth="1"/>
    <col min="3793" max="3794" width="14.7109375" style="3" customWidth="1"/>
    <col min="3795" max="3795" width="17.7109375" style="3" customWidth="1"/>
    <col min="3796" max="3797" width="14.7109375" style="3" customWidth="1"/>
    <col min="3798" max="3798" width="16.7109375" style="3" customWidth="1"/>
    <col min="3799" max="3803" width="14.7109375" style="3" customWidth="1"/>
    <col min="3804" max="3804" width="16.5703125" style="3" customWidth="1"/>
    <col min="3805" max="3805" width="14.28515625" style="3" customWidth="1"/>
    <col min="3806" max="3806" width="15" style="3" customWidth="1"/>
    <col min="3807" max="3807" width="16.5703125" style="3" customWidth="1"/>
    <col min="3808" max="3809" width="14.7109375" style="3" customWidth="1"/>
    <col min="3810" max="3810" width="16.7109375" style="3" customWidth="1"/>
    <col min="3811" max="3812" width="14.7109375" style="3" customWidth="1"/>
    <col min="3813" max="3813" width="16.5703125" style="3" customWidth="1"/>
    <col min="3814" max="3814" width="18.140625" style="3" customWidth="1"/>
    <col min="3815" max="4024" width="9" style="3"/>
    <col min="4025" max="4025" width="3.140625" style="3" customWidth="1"/>
    <col min="4026" max="4026" width="13.42578125" style="3" customWidth="1"/>
    <col min="4027" max="4027" width="26.28515625" style="3" customWidth="1"/>
    <col min="4028" max="4029" width="17.7109375" style="3" customWidth="1"/>
    <col min="4030" max="4030" width="20.7109375" style="3" customWidth="1"/>
    <col min="4031" max="4032" width="14.7109375" style="3" customWidth="1"/>
    <col min="4033" max="4033" width="16.42578125" style="3" customWidth="1"/>
    <col min="4034" max="4035" width="14.7109375" style="3" customWidth="1"/>
    <col min="4036" max="4036" width="16.7109375" style="3" customWidth="1"/>
    <col min="4037" max="4038" width="14.7109375" style="3" customWidth="1"/>
    <col min="4039" max="4039" width="16.7109375" style="3" customWidth="1"/>
    <col min="4040" max="4041" width="14.7109375" style="3" customWidth="1"/>
    <col min="4042" max="4042" width="16.140625" style="3" customWidth="1"/>
    <col min="4043" max="4044" width="14.7109375" style="3" customWidth="1"/>
    <col min="4045" max="4045" width="15.7109375" style="3" customWidth="1"/>
    <col min="4046" max="4047" width="14.7109375" style="3" customWidth="1"/>
    <col min="4048" max="4048" width="16.7109375" style="3" customWidth="1"/>
    <col min="4049" max="4050" width="14.7109375" style="3" customWidth="1"/>
    <col min="4051" max="4051" width="17.7109375" style="3" customWidth="1"/>
    <col min="4052" max="4053" width="14.7109375" style="3" customWidth="1"/>
    <col min="4054" max="4054" width="16.7109375" style="3" customWidth="1"/>
    <col min="4055" max="4059" width="14.7109375" style="3" customWidth="1"/>
    <col min="4060" max="4060" width="16.5703125" style="3" customWidth="1"/>
    <col min="4061" max="4061" width="14.28515625" style="3" customWidth="1"/>
    <col min="4062" max="4062" width="15" style="3" customWidth="1"/>
    <col min="4063" max="4063" width="16.5703125" style="3" customWidth="1"/>
    <col min="4064" max="4065" width="14.7109375" style="3" customWidth="1"/>
    <col min="4066" max="4066" width="16.7109375" style="3" customWidth="1"/>
    <col min="4067" max="4068" width="14.7109375" style="3" customWidth="1"/>
    <col min="4069" max="4069" width="16.5703125" style="3" customWidth="1"/>
    <col min="4070" max="4070" width="18.140625" style="3" customWidth="1"/>
    <col min="4071" max="4280" width="9" style="3"/>
    <col min="4281" max="4281" width="3.140625" style="3" customWidth="1"/>
    <col min="4282" max="4282" width="13.42578125" style="3" customWidth="1"/>
    <col min="4283" max="4283" width="26.28515625" style="3" customWidth="1"/>
    <col min="4284" max="4285" width="17.7109375" style="3" customWidth="1"/>
    <col min="4286" max="4286" width="20.7109375" style="3" customWidth="1"/>
    <col min="4287" max="4288" width="14.7109375" style="3" customWidth="1"/>
    <col min="4289" max="4289" width="16.42578125" style="3" customWidth="1"/>
    <col min="4290" max="4291" width="14.7109375" style="3" customWidth="1"/>
    <col min="4292" max="4292" width="16.7109375" style="3" customWidth="1"/>
    <col min="4293" max="4294" width="14.7109375" style="3" customWidth="1"/>
    <col min="4295" max="4295" width="16.7109375" style="3" customWidth="1"/>
    <col min="4296" max="4297" width="14.7109375" style="3" customWidth="1"/>
    <col min="4298" max="4298" width="16.140625" style="3" customWidth="1"/>
    <col min="4299" max="4300" width="14.7109375" style="3" customWidth="1"/>
    <col min="4301" max="4301" width="15.7109375" style="3" customWidth="1"/>
    <col min="4302" max="4303" width="14.7109375" style="3" customWidth="1"/>
    <col min="4304" max="4304" width="16.7109375" style="3" customWidth="1"/>
    <col min="4305" max="4306" width="14.7109375" style="3" customWidth="1"/>
    <col min="4307" max="4307" width="17.7109375" style="3" customWidth="1"/>
    <col min="4308" max="4309" width="14.7109375" style="3" customWidth="1"/>
    <col min="4310" max="4310" width="16.7109375" style="3" customWidth="1"/>
    <col min="4311" max="4315" width="14.7109375" style="3" customWidth="1"/>
    <col min="4316" max="4316" width="16.5703125" style="3" customWidth="1"/>
    <col min="4317" max="4317" width="14.28515625" style="3" customWidth="1"/>
    <col min="4318" max="4318" width="15" style="3" customWidth="1"/>
    <col min="4319" max="4319" width="16.5703125" style="3" customWidth="1"/>
    <col min="4320" max="4321" width="14.7109375" style="3" customWidth="1"/>
    <col min="4322" max="4322" width="16.7109375" style="3" customWidth="1"/>
    <col min="4323" max="4324" width="14.7109375" style="3" customWidth="1"/>
    <col min="4325" max="4325" width="16.5703125" style="3" customWidth="1"/>
    <col min="4326" max="4326" width="18.140625" style="3" customWidth="1"/>
    <col min="4327" max="4536" width="9" style="3"/>
    <col min="4537" max="4537" width="3.140625" style="3" customWidth="1"/>
    <col min="4538" max="4538" width="13.42578125" style="3" customWidth="1"/>
    <col min="4539" max="4539" width="26.28515625" style="3" customWidth="1"/>
    <col min="4540" max="4541" width="17.7109375" style="3" customWidth="1"/>
    <col min="4542" max="4542" width="20.7109375" style="3" customWidth="1"/>
    <col min="4543" max="4544" width="14.7109375" style="3" customWidth="1"/>
    <col min="4545" max="4545" width="16.42578125" style="3" customWidth="1"/>
    <col min="4546" max="4547" width="14.7109375" style="3" customWidth="1"/>
    <col min="4548" max="4548" width="16.7109375" style="3" customWidth="1"/>
    <col min="4549" max="4550" width="14.7109375" style="3" customWidth="1"/>
    <col min="4551" max="4551" width="16.7109375" style="3" customWidth="1"/>
    <col min="4552" max="4553" width="14.7109375" style="3" customWidth="1"/>
    <col min="4554" max="4554" width="16.140625" style="3" customWidth="1"/>
    <col min="4555" max="4556" width="14.7109375" style="3" customWidth="1"/>
    <col min="4557" max="4557" width="15.7109375" style="3" customWidth="1"/>
    <col min="4558" max="4559" width="14.7109375" style="3" customWidth="1"/>
    <col min="4560" max="4560" width="16.7109375" style="3" customWidth="1"/>
    <col min="4561" max="4562" width="14.7109375" style="3" customWidth="1"/>
    <col min="4563" max="4563" width="17.7109375" style="3" customWidth="1"/>
    <col min="4564" max="4565" width="14.7109375" style="3" customWidth="1"/>
    <col min="4566" max="4566" width="16.7109375" style="3" customWidth="1"/>
    <col min="4567" max="4571" width="14.7109375" style="3" customWidth="1"/>
    <col min="4572" max="4572" width="16.5703125" style="3" customWidth="1"/>
    <col min="4573" max="4573" width="14.28515625" style="3" customWidth="1"/>
    <col min="4574" max="4574" width="15" style="3" customWidth="1"/>
    <col min="4575" max="4575" width="16.5703125" style="3" customWidth="1"/>
    <col min="4576" max="4577" width="14.7109375" style="3" customWidth="1"/>
    <col min="4578" max="4578" width="16.7109375" style="3" customWidth="1"/>
    <col min="4579" max="4580" width="14.7109375" style="3" customWidth="1"/>
    <col min="4581" max="4581" width="16.5703125" style="3" customWidth="1"/>
    <col min="4582" max="4582" width="18.140625" style="3" customWidth="1"/>
    <col min="4583" max="4792" width="9" style="3"/>
    <col min="4793" max="4793" width="3.140625" style="3" customWidth="1"/>
    <col min="4794" max="4794" width="13.42578125" style="3" customWidth="1"/>
    <col min="4795" max="4795" width="26.28515625" style="3" customWidth="1"/>
    <col min="4796" max="4797" width="17.7109375" style="3" customWidth="1"/>
    <col min="4798" max="4798" width="20.7109375" style="3" customWidth="1"/>
    <col min="4799" max="4800" width="14.7109375" style="3" customWidth="1"/>
    <col min="4801" max="4801" width="16.42578125" style="3" customWidth="1"/>
    <col min="4802" max="4803" width="14.7109375" style="3" customWidth="1"/>
    <col min="4804" max="4804" width="16.7109375" style="3" customWidth="1"/>
    <col min="4805" max="4806" width="14.7109375" style="3" customWidth="1"/>
    <col min="4807" max="4807" width="16.7109375" style="3" customWidth="1"/>
    <col min="4808" max="4809" width="14.7109375" style="3" customWidth="1"/>
    <col min="4810" max="4810" width="16.140625" style="3" customWidth="1"/>
    <col min="4811" max="4812" width="14.7109375" style="3" customWidth="1"/>
    <col min="4813" max="4813" width="15.7109375" style="3" customWidth="1"/>
    <col min="4814" max="4815" width="14.7109375" style="3" customWidth="1"/>
    <col min="4816" max="4816" width="16.7109375" style="3" customWidth="1"/>
    <col min="4817" max="4818" width="14.7109375" style="3" customWidth="1"/>
    <col min="4819" max="4819" width="17.7109375" style="3" customWidth="1"/>
    <col min="4820" max="4821" width="14.7109375" style="3" customWidth="1"/>
    <col min="4822" max="4822" width="16.7109375" style="3" customWidth="1"/>
    <col min="4823" max="4827" width="14.7109375" style="3" customWidth="1"/>
    <col min="4828" max="4828" width="16.5703125" style="3" customWidth="1"/>
    <col min="4829" max="4829" width="14.28515625" style="3" customWidth="1"/>
    <col min="4830" max="4830" width="15" style="3" customWidth="1"/>
    <col min="4831" max="4831" width="16.5703125" style="3" customWidth="1"/>
    <col min="4832" max="4833" width="14.7109375" style="3" customWidth="1"/>
    <col min="4834" max="4834" width="16.7109375" style="3" customWidth="1"/>
    <col min="4835" max="4836" width="14.7109375" style="3" customWidth="1"/>
    <col min="4837" max="4837" width="16.5703125" style="3" customWidth="1"/>
    <col min="4838" max="4838" width="18.140625" style="3" customWidth="1"/>
    <col min="4839" max="5048" width="9" style="3"/>
    <col min="5049" max="5049" width="3.140625" style="3" customWidth="1"/>
    <col min="5050" max="5050" width="13.42578125" style="3" customWidth="1"/>
    <col min="5051" max="5051" width="26.28515625" style="3" customWidth="1"/>
    <col min="5052" max="5053" width="17.7109375" style="3" customWidth="1"/>
    <col min="5054" max="5054" width="20.7109375" style="3" customWidth="1"/>
    <col min="5055" max="5056" width="14.7109375" style="3" customWidth="1"/>
    <col min="5057" max="5057" width="16.42578125" style="3" customWidth="1"/>
    <col min="5058" max="5059" width="14.7109375" style="3" customWidth="1"/>
    <col min="5060" max="5060" width="16.7109375" style="3" customWidth="1"/>
    <col min="5061" max="5062" width="14.7109375" style="3" customWidth="1"/>
    <col min="5063" max="5063" width="16.7109375" style="3" customWidth="1"/>
    <col min="5064" max="5065" width="14.7109375" style="3" customWidth="1"/>
    <col min="5066" max="5066" width="16.140625" style="3" customWidth="1"/>
    <col min="5067" max="5068" width="14.7109375" style="3" customWidth="1"/>
    <col min="5069" max="5069" width="15.7109375" style="3" customWidth="1"/>
    <col min="5070" max="5071" width="14.7109375" style="3" customWidth="1"/>
    <col min="5072" max="5072" width="16.7109375" style="3" customWidth="1"/>
    <col min="5073" max="5074" width="14.7109375" style="3" customWidth="1"/>
    <col min="5075" max="5075" width="17.7109375" style="3" customWidth="1"/>
    <col min="5076" max="5077" width="14.7109375" style="3" customWidth="1"/>
    <col min="5078" max="5078" width="16.7109375" style="3" customWidth="1"/>
    <col min="5079" max="5083" width="14.7109375" style="3" customWidth="1"/>
    <col min="5084" max="5084" width="16.5703125" style="3" customWidth="1"/>
    <col min="5085" max="5085" width="14.28515625" style="3" customWidth="1"/>
    <col min="5086" max="5086" width="15" style="3" customWidth="1"/>
    <col min="5087" max="5087" width="16.5703125" style="3" customWidth="1"/>
    <col min="5088" max="5089" width="14.7109375" style="3" customWidth="1"/>
    <col min="5090" max="5090" width="16.7109375" style="3" customWidth="1"/>
    <col min="5091" max="5092" width="14.7109375" style="3" customWidth="1"/>
    <col min="5093" max="5093" width="16.5703125" style="3" customWidth="1"/>
    <col min="5094" max="5094" width="18.140625" style="3" customWidth="1"/>
    <col min="5095" max="5304" width="9" style="3"/>
    <col min="5305" max="5305" width="3.140625" style="3" customWidth="1"/>
    <col min="5306" max="5306" width="13.42578125" style="3" customWidth="1"/>
    <col min="5307" max="5307" width="26.28515625" style="3" customWidth="1"/>
    <col min="5308" max="5309" width="17.7109375" style="3" customWidth="1"/>
    <col min="5310" max="5310" width="20.7109375" style="3" customWidth="1"/>
    <col min="5311" max="5312" width="14.7109375" style="3" customWidth="1"/>
    <col min="5313" max="5313" width="16.42578125" style="3" customWidth="1"/>
    <col min="5314" max="5315" width="14.7109375" style="3" customWidth="1"/>
    <col min="5316" max="5316" width="16.7109375" style="3" customWidth="1"/>
    <col min="5317" max="5318" width="14.7109375" style="3" customWidth="1"/>
    <col min="5319" max="5319" width="16.7109375" style="3" customWidth="1"/>
    <col min="5320" max="5321" width="14.7109375" style="3" customWidth="1"/>
    <col min="5322" max="5322" width="16.140625" style="3" customWidth="1"/>
    <col min="5323" max="5324" width="14.7109375" style="3" customWidth="1"/>
    <col min="5325" max="5325" width="15.7109375" style="3" customWidth="1"/>
    <col min="5326" max="5327" width="14.7109375" style="3" customWidth="1"/>
    <col min="5328" max="5328" width="16.7109375" style="3" customWidth="1"/>
    <col min="5329" max="5330" width="14.7109375" style="3" customWidth="1"/>
    <col min="5331" max="5331" width="17.7109375" style="3" customWidth="1"/>
    <col min="5332" max="5333" width="14.7109375" style="3" customWidth="1"/>
    <col min="5334" max="5334" width="16.7109375" style="3" customWidth="1"/>
    <col min="5335" max="5339" width="14.7109375" style="3" customWidth="1"/>
    <col min="5340" max="5340" width="16.5703125" style="3" customWidth="1"/>
    <col min="5341" max="5341" width="14.28515625" style="3" customWidth="1"/>
    <col min="5342" max="5342" width="15" style="3" customWidth="1"/>
    <col min="5343" max="5343" width="16.5703125" style="3" customWidth="1"/>
    <col min="5344" max="5345" width="14.7109375" style="3" customWidth="1"/>
    <col min="5346" max="5346" width="16.7109375" style="3" customWidth="1"/>
    <col min="5347" max="5348" width="14.7109375" style="3" customWidth="1"/>
    <col min="5349" max="5349" width="16.5703125" style="3" customWidth="1"/>
    <col min="5350" max="5350" width="18.140625" style="3" customWidth="1"/>
    <col min="5351" max="5560" width="9" style="3"/>
    <col min="5561" max="5561" width="3.140625" style="3" customWidth="1"/>
    <col min="5562" max="5562" width="13.42578125" style="3" customWidth="1"/>
    <col min="5563" max="5563" width="26.28515625" style="3" customWidth="1"/>
    <col min="5564" max="5565" width="17.7109375" style="3" customWidth="1"/>
    <col min="5566" max="5566" width="20.7109375" style="3" customWidth="1"/>
    <col min="5567" max="5568" width="14.7109375" style="3" customWidth="1"/>
    <col min="5569" max="5569" width="16.42578125" style="3" customWidth="1"/>
    <col min="5570" max="5571" width="14.7109375" style="3" customWidth="1"/>
    <col min="5572" max="5572" width="16.7109375" style="3" customWidth="1"/>
    <col min="5573" max="5574" width="14.7109375" style="3" customWidth="1"/>
    <col min="5575" max="5575" width="16.7109375" style="3" customWidth="1"/>
    <col min="5576" max="5577" width="14.7109375" style="3" customWidth="1"/>
    <col min="5578" max="5578" width="16.140625" style="3" customWidth="1"/>
    <col min="5579" max="5580" width="14.7109375" style="3" customWidth="1"/>
    <col min="5581" max="5581" width="15.7109375" style="3" customWidth="1"/>
    <col min="5582" max="5583" width="14.7109375" style="3" customWidth="1"/>
    <col min="5584" max="5584" width="16.7109375" style="3" customWidth="1"/>
    <col min="5585" max="5586" width="14.7109375" style="3" customWidth="1"/>
    <col min="5587" max="5587" width="17.7109375" style="3" customWidth="1"/>
    <col min="5588" max="5589" width="14.7109375" style="3" customWidth="1"/>
    <col min="5590" max="5590" width="16.7109375" style="3" customWidth="1"/>
    <col min="5591" max="5595" width="14.7109375" style="3" customWidth="1"/>
    <col min="5596" max="5596" width="16.5703125" style="3" customWidth="1"/>
    <col min="5597" max="5597" width="14.28515625" style="3" customWidth="1"/>
    <col min="5598" max="5598" width="15" style="3" customWidth="1"/>
    <col min="5599" max="5599" width="16.5703125" style="3" customWidth="1"/>
    <col min="5600" max="5601" width="14.7109375" style="3" customWidth="1"/>
    <col min="5602" max="5602" width="16.7109375" style="3" customWidth="1"/>
    <col min="5603" max="5604" width="14.7109375" style="3" customWidth="1"/>
    <col min="5605" max="5605" width="16.5703125" style="3" customWidth="1"/>
    <col min="5606" max="5606" width="18.140625" style="3" customWidth="1"/>
    <col min="5607" max="5816" width="9" style="3"/>
    <col min="5817" max="5817" width="3.140625" style="3" customWidth="1"/>
    <col min="5818" max="5818" width="13.42578125" style="3" customWidth="1"/>
    <col min="5819" max="5819" width="26.28515625" style="3" customWidth="1"/>
    <col min="5820" max="5821" width="17.7109375" style="3" customWidth="1"/>
    <col min="5822" max="5822" width="20.7109375" style="3" customWidth="1"/>
    <col min="5823" max="5824" width="14.7109375" style="3" customWidth="1"/>
    <col min="5825" max="5825" width="16.42578125" style="3" customWidth="1"/>
    <col min="5826" max="5827" width="14.7109375" style="3" customWidth="1"/>
    <col min="5828" max="5828" width="16.7109375" style="3" customWidth="1"/>
    <col min="5829" max="5830" width="14.7109375" style="3" customWidth="1"/>
    <col min="5831" max="5831" width="16.7109375" style="3" customWidth="1"/>
    <col min="5832" max="5833" width="14.7109375" style="3" customWidth="1"/>
    <col min="5834" max="5834" width="16.140625" style="3" customWidth="1"/>
    <col min="5835" max="5836" width="14.7109375" style="3" customWidth="1"/>
    <col min="5837" max="5837" width="15.7109375" style="3" customWidth="1"/>
    <col min="5838" max="5839" width="14.7109375" style="3" customWidth="1"/>
    <col min="5840" max="5840" width="16.7109375" style="3" customWidth="1"/>
    <col min="5841" max="5842" width="14.7109375" style="3" customWidth="1"/>
    <col min="5843" max="5843" width="17.7109375" style="3" customWidth="1"/>
    <col min="5844" max="5845" width="14.7109375" style="3" customWidth="1"/>
    <col min="5846" max="5846" width="16.7109375" style="3" customWidth="1"/>
    <col min="5847" max="5851" width="14.7109375" style="3" customWidth="1"/>
    <col min="5852" max="5852" width="16.5703125" style="3" customWidth="1"/>
    <col min="5853" max="5853" width="14.28515625" style="3" customWidth="1"/>
    <col min="5854" max="5854" width="15" style="3" customWidth="1"/>
    <col min="5855" max="5855" width="16.5703125" style="3" customWidth="1"/>
    <col min="5856" max="5857" width="14.7109375" style="3" customWidth="1"/>
    <col min="5858" max="5858" width="16.7109375" style="3" customWidth="1"/>
    <col min="5859" max="5860" width="14.7109375" style="3" customWidth="1"/>
    <col min="5861" max="5861" width="16.5703125" style="3" customWidth="1"/>
    <col min="5862" max="5862" width="18.140625" style="3" customWidth="1"/>
    <col min="5863" max="6072" width="9" style="3"/>
    <col min="6073" max="6073" width="3.140625" style="3" customWidth="1"/>
    <col min="6074" max="6074" width="13.42578125" style="3" customWidth="1"/>
    <col min="6075" max="6075" width="26.28515625" style="3" customWidth="1"/>
    <col min="6076" max="6077" width="17.7109375" style="3" customWidth="1"/>
    <col min="6078" max="6078" width="20.7109375" style="3" customWidth="1"/>
    <col min="6079" max="6080" width="14.7109375" style="3" customWidth="1"/>
    <col min="6081" max="6081" width="16.42578125" style="3" customWidth="1"/>
    <col min="6082" max="6083" width="14.7109375" style="3" customWidth="1"/>
    <col min="6084" max="6084" width="16.7109375" style="3" customWidth="1"/>
    <col min="6085" max="6086" width="14.7109375" style="3" customWidth="1"/>
    <col min="6087" max="6087" width="16.7109375" style="3" customWidth="1"/>
    <col min="6088" max="6089" width="14.7109375" style="3" customWidth="1"/>
    <col min="6090" max="6090" width="16.140625" style="3" customWidth="1"/>
    <col min="6091" max="6092" width="14.7109375" style="3" customWidth="1"/>
    <col min="6093" max="6093" width="15.7109375" style="3" customWidth="1"/>
    <col min="6094" max="6095" width="14.7109375" style="3" customWidth="1"/>
    <col min="6096" max="6096" width="16.7109375" style="3" customWidth="1"/>
    <col min="6097" max="6098" width="14.7109375" style="3" customWidth="1"/>
    <col min="6099" max="6099" width="17.7109375" style="3" customWidth="1"/>
    <col min="6100" max="6101" width="14.7109375" style="3" customWidth="1"/>
    <col min="6102" max="6102" width="16.7109375" style="3" customWidth="1"/>
    <col min="6103" max="6107" width="14.7109375" style="3" customWidth="1"/>
    <col min="6108" max="6108" width="16.5703125" style="3" customWidth="1"/>
    <col min="6109" max="6109" width="14.28515625" style="3" customWidth="1"/>
    <col min="6110" max="6110" width="15" style="3" customWidth="1"/>
    <col min="6111" max="6111" width="16.5703125" style="3" customWidth="1"/>
    <col min="6112" max="6113" width="14.7109375" style="3" customWidth="1"/>
    <col min="6114" max="6114" width="16.7109375" style="3" customWidth="1"/>
    <col min="6115" max="6116" width="14.7109375" style="3" customWidth="1"/>
    <col min="6117" max="6117" width="16.5703125" style="3" customWidth="1"/>
    <col min="6118" max="6118" width="18.140625" style="3" customWidth="1"/>
    <col min="6119" max="6328" width="9" style="3"/>
    <col min="6329" max="6329" width="3.140625" style="3" customWidth="1"/>
    <col min="6330" max="6330" width="13.42578125" style="3" customWidth="1"/>
    <col min="6331" max="6331" width="26.28515625" style="3" customWidth="1"/>
    <col min="6332" max="6333" width="17.7109375" style="3" customWidth="1"/>
    <col min="6334" max="6334" width="20.7109375" style="3" customWidth="1"/>
    <col min="6335" max="6336" width="14.7109375" style="3" customWidth="1"/>
    <col min="6337" max="6337" width="16.42578125" style="3" customWidth="1"/>
    <col min="6338" max="6339" width="14.7109375" style="3" customWidth="1"/>
    <col min="6340" max="6340" width="16.7109375" style="3" customWidth="1"/>
    <col min="6341" max="6342" width="14.7109375" style="3" customWidth="1"/>
    <col min="6343" max="6343" width="16.7109375" style="3" customWidth="1"/>
    <col min="6344" max="6345" width="14.7109375" style="3" customWidth="1"/>
    <col min="6346" max="6346" width="16.140625" style="3" customWidth="1"/>
    <col min="6347" max="6348" width="14.7109375" style="3" customWidth="1"/>
    <col min="6349" max="6349" width="15.7109375" style="3" customWidth="1"/>
    <col min="6350" max="6351" width="14.7109375" style="3" customWidth="1"/>
    <col min="6352" max="6352" width="16.7109375" style="3" customWidth="1"/>
    <col min="6353" max="6354" width="14.7109375" style="3" customWidth="1"/>
    <col min="6355" max="6355" width="17.7109375" style="3" customWidth="1"/>
    <col min="6356" max="6357" width="14.7109375" style="3" customWidth="1"/>
    <col min="6358" max="6358" width="16.7109375" style="3" customWidth="1"/>
    <col min="6359" max="6363" width="14.7109375" style="3" customWidth="1"/>
    <col min="6364" max="6364" width="16.5703125" style="3" customWidth="1"/>
    <col min="6365" max="6365" width="14.28515625" style="3" customWidth="1"/>
    <col min="6366" max="6366" width="15" style="3" customWidth="1"/>
    <col min="6367" max="6367" width="16.5703125" style="3" customWidth="1"/>
    <col min="6368" max="6369" width="14.7109375" style="3" customWidth="1"/>
    <col min="6370" max="6370" width="16.7109375" style="3" customWidth="1"/>
    <col min="6371" max="6372" width="14.7109375" style="3" customWidth="1"/>
    <col min="6373" max="6373" width="16.5703125" style="3" customWidth="1"/>
    <col min="6374" max="6374" width="18.140625" style="3" customWidth="1"/>
    <col min="6375" max="6584" width="9" style="3"/>
    <col min="6585" max="6585" width="3.140625" style="3" customWidth="1"/>
    <col min="6586" max="6586" width="13.42578125" style="3" customWidth="1"/>
    <col min="6587" max="6587" width="26.28515625" style="3" customWidth="1"/>
    <col min="6588" max="6589" width="17.7109375" style="3" customWidth="1"/>
    <col min="6590" max="6590" width="20.7109375" style="3" customWidth="1"/>
    <col min="6591" max="6592" width="14.7109375" style="3" customWidth="1"/>
    <col min="6593" max="6593" width="16.42578125" style="3" customWidth="1"/>
    <col min="6594" max="6595" width="14.7109375" style="3" customWidth="1"/>
    <col min="6596" max="6596" width="16.7109375" style="3" customWidth="1"/>
    <col min="6597" max="6598" width="14.7109375" style="3" customWidth="1"/>
    <col min="6599" max="6599" width="16.7109375" style="3" customWidth="1"/>
    <col min="6600" max="6601" width="14.7109375" style="3" customWidth="1"/>
    <col min="6602" max="6602" width="16.140625" style="3" customWidth="1"/>
    <col min="6603" max="6604" width="14.7109375" style="3" customWidth="1"/>
    <col min="6605" max="6605" width="15.7109375" style="3" customWidth="1"/>
    <col min="6606" max="6607" width="14.7109375" style="3" customWidth="1"/>
    <col min="6608" max="6608" width="16.7109375" style="3" customWidth="1"/>
    <col min="6609" max="6610" width="14.7109375" style="3" customWidth="1"/>
    <col min="6611" max="6611" width="17.7109375" style="3" customWidth="1"/>
    <col min="6612" max="6613" width="14.7109375" style="3" customWidth="1"/>
    <col min="6614" max="6614" width="16.7109375" style="3" customWidth="1"/>
    <col min="6615" max="6619" width="14.7109375" style="3" customWidth="1"/>
    <col min="6620" max="6620" width="16.5703125" style="3" customWidth="1"/>
    <col min="6621" max="6621" width="14.28515625" style="3" customWidth="1"/>
    <col min="6622" max="6622" width="15" style="3" customWidth="1"/>
    <col min="6623" max="6623" width="16.5703125" style="3" customWidth="1"/>
    <col min="6624" max="6625" width="14.7109375" style="3" customWidth="1"/>
    <col min="6626" max="6626" width="16.7109375" style="3" customWidth="1"/>
    <col min="6627" max="6628" width="14.7109375" style="3" customWidth="1"/>
    <col min="6629" max="6629" width="16.5703125" style="3" customWidth="1"/>
    <col min="6630" max="6630" width="18.140625" style="3" customWidth="1"/>
    <col min="6631" max="6840" width="9" style="3"/>
    <col min="6841" max="6841" width="3.140625" style="3" customWidth="1"/>
    <col min="6842" max="6842" width="13.42578125" style="3" customWidth="1"/>
    <col min="6843" max="6843" width="26.28515625" style="3" customWidth="1"/>
    <col min="6844" max="6845" width="17.7109375" style="3" customWidth="1"/>
    <col min="6846" max="6846" width="20.7109375" style="3" customWidth="1"/>
    <col min="6847" max="6848" width="14.7109375" style="3" customWidth="1"/>
    <col min="6849" max="6849" width="16.42578125" style="3" customWidth="1"/>
    <col min="6850" max="6851" width="14.7109375" style="3" customWidth="1"/>
    <col min="6852" max="6852" width="16.7109375" style="3" customWidth="1"/>
    <col min="6853" max="6854" width="14.7109375" style="3" customWidth="1"/>
    <col min="6855" max="6855" width="16.7109375" style="3" customWidth="1"/>
    <col min="6856" max="6857" width="14.7109375" style="3" customWidth="1"/>
    <col min="6858" max="6858" width="16.140625" style="3" customWidth="1"/>
    <col min="6859" max="6860" width="14.7109375" style="3" customWidth="1"/>
    <col min="6861" max="6861" width="15.7109375" style="3" customWidth="1"/>
    <col min="6862" max="6863" width="14.7109375" style="3" customWidth="1"/>
    <col min="6864" max="6864" width="16.7109375" style="3" customWidth="1"/>
    <col min="6865" max="6866" width="14.7109375" style="3" customWidth="1"/>
    <col min="6867" max="6867" width="17.7109375" style="3" customWidth="1"/>
    <col min="6868" max="6869" width="14.7109375" style="3" customWidth="1"/>
    <col min="6870" max="6870" width="16.7109375" style="3" customWidth="1"/>
    <col min="6871" max="6875" width="14.7109375" style="3" customWidth="1"/>
    <col min="6876" max="6876" width="16.5703125" style="3" customWidth="1"/>
    <col min="6877" max="6877" width="14.28515625" style="3" customWidth="1"/>
    <col min="6878" max="6878" width="15" style="3" customWidth="1"/>
    <col min="6879" max="6879" width="16.5703125" style="3" customWidth="1"/>
    <col min="6880" max="6881" width="14.7109375" style="3" customWidth="1"/>
    <col min="6882" max="6882" width="16.7109375" style="3" customWidth="1"/>
    <col min="6883" max="6884" width="14.7109375" style="3" customWidth="1"/>
    <col min="6885" max="6885" width="16.5703125" style="3" customWidth="1"/>
    <col min="6886" max="6886" width="18.140625" style="3" customWidth="1"/>
    <col min="6887" max="7096" width="9" style="3"/>
    <col min="7097" max="7097" width="3.140625" style="3" customWidth="1"/>
    <col min="7098" max="7098" width="13.42578125" style="3" customWidth="1"/>
    <col min="7099" max="7099" width="26.28515625" style="3" customWidth="1"/>
    <col min="7100" max="7101" width="17.7109375" style="3" customWidth="1"/>
    <col min="7102" max="7102" width="20.7109375" style="3" customWidth="1"/>
    <col min="7103" max="7104" width="14.7109375" style="3" customWidth="1"/>
    <col min="7105" max="7105" width="16.42578125" style="3" customWidth="1"/>
    <col min="7106" max="7107" width="14.7109375" style="3" customWidth="1"/>
    <col min="7108" max="7108" width="16.7109375" style="3" customWidth="1"/>
    <col min="7109" max="7110" width="14.7109375" style="3" customWidth="1"/>
    <col min="7111" max="7111" width="16.7109375" style="3" customWidth="1"/>
    <col min="7112" max="7113" width="14.7109375" style="3" customWidth="1"/>
    <col min="7114" max="7114" width="16.140625" style="3" customWidth="1"/>
    <col min="7115" max="7116" width="14.7109375" style="3" customWidth="1"/>
    <col min="7117" max="7117" width="15.7109375" style="3" customWidth="1"/>
    <col min="7118" max="7119" width="14.7109375" style="3" customWidth="1"/>
    <col min="7120" max="7120" width="16.7109375" style="3" customWidth="1"/>
    <col min="7121" max="7122" width="14.7109375" style="3" customWidth="1"/>
    <col min="7123" max="7123" width="17.7109375" style="3" customWidth="1"/>
    <col min="7124" max="7125" width="14.7109375" style="3" customWidth="1"/>
    <col min="7126" max="7126" width="16.7109375" style="3" customWidth="1"/>
    <col min="7127" max="7131" width="14.7109375" style="3" customWidth="1"/>
    <col min="7132" max="7132" width="16.5703125" style="3" customWidth="1"/>
    <col min="7133" max="7133" width="14.28515625" style="3" customWidth="1"/>
    <col min="7134" max="7134" width="15" style="3" customWidth="1"/>
    <col min="7135" max="7135" width="16.5703125" style="3" customWidth="1"/>
    <col min="7136" max="7137" width="14.7109375" style="3" customWidth="1"/>
    <col min="7138" max="7138" width="16.7109375" style="3" customWidth="1"/>
    <col min="7139" max="7140" width="14.7109375" style="3" customWidth="1"/>
    <col min="7141" max="7141" width="16.5703125" style="3" customWidth="1"/>
    <col min="7142" max="7142" width="18.140625" style="3" customWidth="1"/>
    <col min="7143" max="7352" width="9" style="3"/>
    <col min="7353" max="7353" width="3.140625" style="3" customWidth="1"/>
    <col min="7354" max="7354" width="13.42578125" style="3" customWidth="1"/>
    <col min="7355" max="7355" width="26.28515625" style="3" customWidth="1"/>
    <col min="7356" max="7357" width="17.7109375" style="3" customWidth="1"/>
    <col min="7358" max="7358" width="20.7109375" style="3" customWidth="1"/>
    <col min="7359" max="7360" width="14.7109375" style="3" customWidth="1"/>
    <col min="7361" max="7361" width="16.42578125" style="3" customWidth="1"/>
    <col min="7362" max="7363" width="14.7109375" style="3" customWidth="1"/>
    <col min="7364" max="7364" width="16.7109375" style="3" customWidth="1"/>
    <col min="7365" max="7366" width="14.7109375" style="3" customWidth="1"/>
    <col min="7367" max="7367" width="16.7109375" style="3" customWidth="1"/>
    <col min="7368" max="7369" width="14.7109375" style="3" customWidth="1"/>
    <col min="7370" max="7370" width="16.140625" style="3" customWidth="1"/>
    <col min="7371" max="7372" width="14.7109375" style="3" customWidth="1"/>
    <col min="7373" max="7373" width="15.7109375" style="3" customWidth="1"/>
    <col min="7374" max="7375" width="14.7109375" style="3" customWidth="1"/>
    <col min="7376" max="7376" width="16.7109375" style="3" customWidth="1"/>
    <col min="7377" max="7378" width="14.7109375" style="3" customWidth="1"/>
    <col min="7379" max="7379" width="17.7109375" style="3" customWidth="1"/>
    <col min="7380" max="7381" width="14.7109375" style="3" customWidth="1"/>
    <col min="7382" max="7382" width="16.7109375" style="3" customWidth="1"/>
    <col min="7383" max="7387" width="14.7109375" style="3" customWidth="1"/>
    <col min="7388" max="7388" width="16.5703125" style="3" customWidth="1"/>
    <col min="7389" max="7389" width="14.28515625" style="3" customWidth="1"/>
    <col min="7390" max="7390" width="15" style="3" customWidth="1"/>
    <col min="7391" max="7391" width="16.5703125" style="3" customWidth="1"/>
    <col min="7392" max="7393" width="14.7109375" style="3" customWidth="1"/>
    <col min="7394" max="7394" width="16.7109375" style="3" customWidth="1"/>
    <col min="7395" max="7396" width="14.7109375" style="3" customWidth="1"/>
    <col min="7397" max="7397" width="16.5703125" style="3" customWidth="1"/>
    <col min="7398" max="7398" width="18.140625" style="3" customWidth="1"/>
    <col min="7399" max="7608" width="9" style="3"/>
    <col min="7609" max="7609" width="3.140625" style="3" customWidth="1"/>
    <col min="7610" max="7610" width="13.42578125" style="3" customWidth="1"/>
    <col min="7611" max="7611" width="26.28515625" style="3" customWidth="1"/>
    <col min="7612" max="7613" width="17.7109375" style="3" customWidth="1"/>
    <col min="7614" max="7614" width="20.7109375" style="3" customWidth="1"/>
    <col min="7615" max="7616" width="14.7109375" style="3" customWidth="1"/>
    <col min="7617" max="7617" width="16.42578125" style="3" customWidth="1"/>
    <col min="7618" max="7619" width="14.7109375" style="3" customWidth="1"/>
    <col min="7620" max="7620" width="16.7109375" style="3" customWidth="1"/>
    <col min="7621" max="7622" width="14.7109375" style="3" customWidth="1"/>
    <col min="7623" max="7623" width="16.7109375" style="3" customWidth="1"/>
    <col min="7624" max="7625" width="14.7109375" style="3" customWidth="1"/>
    <col min="7626" max="7626" width="16.140625" style="3" customWidth="1"/>
    <col min="7627" max="7628" width="14.7109375" style="3" customWidth="1"/>
    <col min="7629" max="7629" width="15.7109375" style="3" customWidth="1"/>
    <col min="7630" max="7631" width="14.7109375" style="3" customWidth="1"/>
    <col min="7632" max="7632" width="16.7109375" style="3" customWidth="1"/>
    <col min="7633" max="7634" width="14.7109375" style="3" customWidth="1"/>
    <col min="7635" max="7635" width="17.7109375" style="3" customWidth="1"/>
    <col min="7636" max="7637" width="14.7109375" style="3" customWidth="1"/>
    <col min="7638" max="7638" width="16.7109375" style="3" customWidth="1"/>
    <col min="7639" max="7643" width="14.7109375" style="3" customWidth="1"/>
    <col min="7644" max="7644" width="16.5703125" style="3" customWidth="1"/>
    <col min="7645" max="7645" width="14.28515625" style="3" customWidth="1"/>
    <col min="7646" max="7646" width="15" style="3" customWidth="1"/>
    <col min="7647" max="7647" width="16.5703125" style="3" customWidth="1"/>
    <col min="7648" max="7649" width="14.7109375" style="3" customWidth="1"/>
    <col min="7650" max="7650" width="16.7109375" style="3" customWidth="1"/>
    <col min="7651" max="7652" width="14.7109375" style="3" customWidth="1"/>
    <col min="7653" max="7653" width="16.5703125" style="3" customWidth="1"/>
    <col min="7654" max="7654" width="18.140625" style="3" customWidth="1"/>
    <col min="7655" max="7864" width="9" style="3"/>
    <col min="7865" max="7865" width="3.140625" style="3" customWidth="1"/>
    <col min="7866" max="7866" width="13.42578125" style="3" customWidth="1"/>
    <col min="7867" max="7867" width="26.28515625" style="3" customWidth="1"/>
    <col min="7868" max="7869" width="17.7109375" style="3" customWidth="1"/>
    <col min="7870" max="7870" width="20.7109375" style="3" customWidth="1"/>
    <col min="7871" max="7872" width="14.7109375" style="3" customWidth="1"/>
    <col min="7873" max="7873" width="16.42578125" style="3" customWidth="1"/>
    <col min="7874" max="7875" width="14.7109375" style="3" customWidth="1"/>
    <col min="7876" max="7876" width="16.7109375" style="3" customWidth="1"/>
    <col min="7877" max="7878" width="14.7109375" style="3" customWidth="1"/>
    <col min="7879" max="7879" width="16.7109375" style="3" customWidth="1"/>
    <col min="7880" max="7881" width="14.7109375" style="3" customWidth="1"/>
    <col min="7882" max="7882" width="16.140625" style="3" customWidth="1"/>
    <col min="7883" max="7884" width="14.7109375" style="3" customWidth="1"/>
    <col min="7885" max="7885" width="15.7109375" style="3" customWidth="1"/>
    <col min="7886" max="7887" width="14.7109375" style="3" customWidth="1"/>
    <col min="7888" max="7888" width="16.7109375" style="3" customWidth="1"/>
    <col min="7889" max="7890" width="14.7109375" style="3" customWidth="1"/>
    <col min="7891" max="7891" width="17.7109375" style="3" customWidth="1"/>
    <col min="7892" max="7893" width="14.7109375" style="3" customWidth="1"/>
    <col min="7894" max="7894" width="16.7109375" style="3" customWidth="1"/>
    <col min="7895" max="7899" width="14.7109375" style="3" customWidth="1"/>
    <col min="7900" max="7900" width="16.5703125" style="3" customWidth="1"/>
    <col min="7901" max="7901" width="14.28515625" style="3" customWidth="1"/>
    <col min="7902" max="7902" width="15" style="3" customWidth="1"/>
    <col min="7903" max="7903" width="16.5703125" style="3" customWidth="1"/>
    <col min="7904" max="7905" width="14.7109375" style="3" customWidth="1"/>
    <col min="7906" max="7906" width="16.7109375" style="3" customWidth="1"/>
    <col min="7907" max="7908" width="14.7109375" style="3" customWidth="1"/>
    <col min="7909" max="7909" width="16.5703125" style="3" customWidth="1"/>
    <col min="7910" max="7910" width="18.140625" style="3" customWidth="1"/>
    <col min="7911" max="8120" width="9" style="3"/>
    <col min="8121" max="8121" width="3.140625" style="3" customWidth="1"/>
    <col min="8122" max="8122" width="13.42578125" style="3" customWidth="1"/>
    <col min="8123" max="8123" width="26.28515625" style="3" customWidth="1"/>
    <col min="8124" max="8125" width="17.7109375" style="3" customWidth="1"/>
    <col min="8126" max="8126" width="20.7109375" style="3" customWidth="1"/>
    <col min="8127" max="8128" width="14.7109375" style="3" customWidth="1"/>
    <col min="8129" max="8129" width="16.42578125" style="3" customWidth="1"/>
    <col min="8130" max="8131" width="14.7109375" style="3" customWidth="1"/>
    <col min="8132" max="8132" width="16.7109375" style="3" customWidth="1"/>
    <col min="8133" max="8134" width="14.7109375" style="3" customWidth="1"/>
    <col min="8135" max="8135" width="16.7109375" style="3" customWidth="1"/>
    <col min="8136" max="8137" width="14.7109375" style="3" customWidth="1"/>
    <col min="8138" max="8138" width="16.140625" style="3" customWidth="1"/>
    <col min="8139" max="8140" width="14.7109375" style="3" customWidth="1"/>
    <col min="8141" max="8141" width="15.7109375" style="3" customWidth="1"/>
    <col min="8142" max="8143" width="14.7109375" style="3" customWidth="1"/>
    <col min="8144" max="8144" width="16.7109375" style="3" customWidth="1"/>
    <col min="8145" max="8146" width="14.7109375" style="3" customWidth="1"/>
    <col min="8147" max="8147" width="17.7109375" style="3" customWidth="1"/>
    <col min="8148" max="8149" width="14.7109375" style="3" customWidth="1"/>
    <col min="8150" max="8150" width="16.7109375" style="3" customWidth="1"/>
    <col min="8151" max="8155" width="14.7109375" style="3" customWidth="1"/>
    <col min="8156" max="8156" width="16.5703125" style="3" customWidth="1"/>
    <col min="8157" max="8157" width="14.28515625" style="3" customWidth="1"/>
    <col min="8158" max="8158" width="15" style="3" customWidth="1"/>
    <col min="8159" max="8159" width="16.5703125" style="3" customWidth="1"/>
    <col min="8160" max="8161" width="14.7109375" style="3" customWidth="1"/>
    <col min="8162" max="8162" width="16.7109375" style="3" customWidth="1"/>
    <col min="8163" max="8164" width="14.7109375" style="3" customWidth="1"/>
    <col min="8165" max="8165" width="16.5703125" style="3" customWidth="1"/>
    <col min="8166" max="8166" width="18.140625" style="3" customWidth="1"/>
    <col min="8167" max="8376" width="9" style="3"/>
    <col min="8377" max="8377" width="3.140625" style="3" customWidth="1"/>
    <col min="8378" max="8378" width="13.42578125" style="3" customWidth="1"/>
    <col min="8379" max="8379" width="26.28515625" style="3" customWidth="1"/>
    <col min="8380" max="8381" width="17.7109375" style="3" customWidth="1"/>
    <col min="8382" max="8382" width="20.7109375" style="3" customWidth="1"/>
    <col min="8383" max="8384" width="14.7109375" style="3" customWidth="1"/>
    <col min="8385" max="8385" width="16.42578125" style="3" customWidth="1"/>
    <col min="8386" max="8387" width="14.7109375" style="3" customWidth="1"/>
    <col min="8388" max="8388" width="16.7109375" style="3" customWidth="1"/>
    <col min="8389" max="8390" width="14.7109375" style="3" customWidth="1"/>
    <col min="8391" max="8391" width="16.7109375" style="3" customWidth="1"/>
    <col min="8392" max="8393" width="14.7109375" style="3" customWidth="1"/>
    <col min="8394" max="8394" width="16.140625" style="3" customWidth="1"/>
    <col min="8395" max="8396" width="14.7109375" style="3" customWidth="1"/>
    <col min="8397" max="8397" width="15.7109375" style="3" customWidth="1"/>
    <col min="8398" max="8399" width="14.7109375" style="3" customWidth="1"/>
    <col min="8400" max="8400" width="16.7109375" style="3" customWidth="1"/>
    <col min="8401" max="8402" width="14.7109375" style="3" customWidth="1"/>
    <col min="8403" max="8403" width="17.7109375" style="3" customWidth="1"/>
    <col min="8404" max="8405" width="14.7109375" style="3" customWidth="1"/>
    <col min="8406" max="8406" width="16.7109375" style="3" customWidth="1"/>
    <col min="8407" max="8411" width="14.7109375" style="3" customWidth="1"/>
    <col min="8412" max="8412" width="16.5703125" style="3" customWidth="1"/>
    <col min="8413" max="8413" width="14.28515625" style="3" customWidth="1"/>
    <col min="8414" max="8414" width="15" style="3" customWidth="1"/>
    <col min="8415" max="8415" width="16.5703125" style="3" customWidth="1"/>
    <col min="8416" max="8417" width="14.7109375" style="3" customWidth="1"/>
    <col min="8418" max="8418" width="16.7109375" style="3" customWidth="1"/>
    <col min="8419" max="8420" width="14.7109375" style="3" customWidth="1"/>
    <col min="8421" max="8421" width="16.5703125" style="3" customWidth="1"/>
    <col min="8422" max="8422" width="18.140625" style="3" customWidth="1"/>
    <col min="8423" max="8632" width="9" style="3"/>
    <col min="8633" max="8633" width="3.140625" style="3" customWidth="1"/>
    <col min="8634" max="8634" width="13.42578125" style="3" customWidth="1"/>
    <col min="8635" max="8635" width="26.28515625" style="3" customWidth="1"/>
    <col min="8636" max="8637" width="17.7109375" style="3" customWidth="1"/>
    <col min="8638" max="8638" width="20.7109375" style="3" customWidth="1"/>
    <col min="8639" max="8640" width="14.7109375" style="3" customWidth="1"/>
    <col min="8641" max="8641" width="16.42578125" style="3" customWidth="1"/>
    <col min="8642" max="8643" width="14.7109375" style="3" customWidth="1"/>
    <col min="8644" max="8644" width="16.7109375" style="3" customWidth="1"/>
    <col min="8645" max="8646" width="14.7109375" style="3" customWidth="1"/>
    <col min="8647" max="8647" width="16.7109375" style="3" customWidth="1"/>
    <col min="8648" max="8649" width="14.7109375" style="3" customWidth="1"/>
    <col min="8650" max="8650" width="16.140625" style="3" customWidth="1"/>
    <col min="8651" max="8652" width="14.7109375" style="3" customWidth="1"/>
    <col min="8653" max="8653" width="15.7109375" style="3" customWidth="1"/>
    <col min="8654" max="8655" width="14.7109375" style="3" customWidth="1"/>
    <col min="8656" max="8656" width="16.7109375" style="3" customWidth="1"/>
    <col min="8657" max="8658" width="14.7109375" style="3" customWidth="1"/>
    <col min="8659" max="8659" width="17.7109375" style="3" customWidth="1"/>
    <col min="8660" max="8661" width="14.7109375" style="3" customWidth="1"/>
    <col min="8662" max="8662" width="16.7109375" style="3" customWidth="1"/>
    <col min="8663" max="8667" width="14.7109375" style="3" customWidth="1"/>
    <col min="8668" max="8668" width="16.5703125" style="3" customWidth="1"/>
    <col min="8669" max="8669" width="14.28515625" style="3" customWidth="1"/>
    <col min="8670" max="8670" width="15" style="3" customWidth="1"/>
    <col min="8671" max="8671" width="16.5703125" style="3" customWidth="1"/>
    <col min="8672" max="8673" width="14.7109375" style="3" customWidth="1"/>
    <col min="8674" max="8674" width="16.7109375" style="3" customWidth="1"/>
    <col min="8675" max="8676" width="14.7109375" style="3" customWidth="1"/>
    <col min="8677" max="8677" width="16.5703125" style="3" customWidth="1"/>
    <col min="8678" max="8678" width="18.140625" style="3" customWidth="1"/>
    <col min="8679" max="8888" width="9" style="3"/>
    <col min="8889" max="8889" width="3.140625" style="3" customWidth="1"/>
    <col min="8890" max="8890" width="13.42578125" style="3" customWidth="1"/>
    <col min="8891" max="8891" width="26.28515625" style="3" customWidth="1"/>
    <col min="8892" max="8893" width="17.7109375" style="3" customWidth="1"/>
    <col min="8894" max="8894" width="20.7109375" style="3" customWidth="1"/>
    <col min="8895" max="8896" width="14.7109375" style="3" customWidth="1"/>
    <col min="8897" max="8897" width="16.42578125" style="3" customWidth="1"/>
    <col min="8898" max="8899" width="14.7109375" style="3" customWidth="1"/>
    <col min="8900" max="8900" width="16.7109375" style="3" customWidth="1"/>
    <col min="8901" max="8902" width="14.7109375" style="3" customWidth="1"/>
    <col min="8903" max="8903" width="16.7109375" style="3" customWidth="1"/>
    <col min="8904" max="8905" width="14.7109375" style="3" customWidth="1"/>
    <col min="8906" max="8906" width="16.140625" style="3" customWidth="1"/>
    <col min="8907" max="8908" width="14.7109375" style="3" customWidth="1"/>
    <col min="8909" max="8909" width="15.7109375" style="3" customWidth="1"/>
    <col min="8910" max="8911" width="14.7109375" style="3" customWidth="1"/>
    <col min="8912" max="8912" width="16.7109375" style="3" customWidth="1"/>
    <col min="8913" max="8914" width="14.7109375" style="3" customWidth="1"/>
    <col min="8915" max="8915" width="17.7109375" style="3" customWidth="1"/>
    <col min="8916" max="8917" width="14.7109375" style="3" customWidth="1"/>
    <col min="8918" max="8918" width="16.7109375" style="3" customWidth="1"/>
    <col min="8919" max="8923" width="14.7109375" style="3" customWidth="1"/>
    <col min="8924" max="8924" width="16.5703125" style="3" customWidth="1"/>
    <col min="8925" max="8925" width="14.28515625" style="3" customWidth="1"/>
    <col min="8926" max="8926" width="15" style="3" customWidth="1"/>
    <col min="8927" max="8927" width="16.5703125" style="3" customWidth="1"/>
    <col min="8928" max="8929" width="14.7109375" style="3" customWidth="1"/>
    <col min="8930" max="8930" width="16.7109375" style="3" customWidth="1"/>
    <col min="8931" max="8932" width="14.7109375" style="3" customWidth="1"/>
    <col min="8933" max="8933" width="16.5703125" style="3" customWidth="1"/>
    <col min="8934" max="8934" width="18.140625" style="3" customWidth="1"/>
    <col min="8935" max="9144" width="9" style="3"/>
    <col min="9145" max="9145" width="3.140625" style="3" customWidth="1"/>
    <col min="9146" max="9146" width="13.42578125" style="3" customWidth="1"/>
    <col min="9147" max="9147" width="26.28515625" style="3" customWidth="1"/>
    <col min="9148" max="9149" width="17.7109375" style="3" customWidth="1"/>
    <col min="9150" max="9150" width="20.7109375" style="3" customWidth="1"/>
    <col min="9151" max="9152" width="14.7109375" style="3" customWidth="1"/>
    <col min="9153" max="9153" width="16.42578125" style="3" customWidth="1"/>
    <col min="9154" max="9155" width="14.7109375" style="3" customWidth="1"/>
    <col min="9156" max="9156" width="16.7109375" style="3" customWidth="1"/>
    <col min="9157" max="9158" width="14.7109375" style="3" customWidth="1"/>
    <col min="9159" max="9159" width="16.7109375" style="3" customWidth="1"/>
    <col min="9160" max="9161" width="14.7109375" style="3" customWidth="1"/>
    <col min="9162" max="9162" width="16.140625" style="3" customWidth="1"/>
    <col min="9163" max="9164" width="14.7109375" style="3" customWidth="1"/>
    <col min="9165" max="9165" width="15.7109375" style="3" customWidth="1"/>
    <col min="9166" max="9167" width="14.7109375" style="3" customWidth="1"/>
    <col min="9168" max="9168" width="16.7109375" style="3" customWidth="1"/>
    <col min="9169" max="9170" width="14.7109375" style="3" customWidth="1"/>
    <col min="9171" max="9171" width="17.7109375" style="3" customWidth="1"/>
    <col min="9172" max="9173" width="14.7109375" style="3" customWidth="1"/>
    <col min="9174" max="9174" width="16.7109375" style="3" customWidth="1"/>
    <col min="9175" max="9179" width="14.7109375" style="3" customWidth="1"/>
    <col min="9180" max="9180" width="16.5703125" style="3" customWidth="1"/>
    <col min="9181" max="9181" width="14.28515625" style="3" customWidth="1"/>
    <col min="9182" max="9182" width="15" style="3" customWidth="1"/>
    <col min="9183" max="9183" width="16.5703125" style="3" customWidth="1"/>
    <col min="9184" max="9185" width="14.7109375" style="3" customWidth="1"/>
    <col min="9186" max="9186" width="16.7109375" style="3" customWidth="1"/>
    <col min="9187" max="9188" width="14.7109375" style="3" customWidth="1"/>
    <col min="9189" max="9189" width="16.5703125" style="3" customWidth="1"/>
    <col min="9190" max="9190" width="18.140625" style="3" customWidth="1"/>
    <col min="9191" max="9400" width="9" style="3"/>
    <col min="9401" max="9401" width="3.140625" style="3" customWidth="1"/>
    <col min="9402" max="9402" width="13.42578125" style="3" customWidth="1"/>
    <col min="9403" max="9403" width="26.28515625" style="3" customWidth="1"/>
    <col min="9404" max="9405" width="17.7109375" style="3" customWidth="1"/>
    <col min="9406" max="9406" width="20.7109375" style="3" customWidth="1"/>
    <col min="9407" max="9408" width="14.7109375" style="3" customWidth="1"/>
    <col min="9409" max="9409" width="16.42578125" style="3" customWidth="1"/>
    <col min="9410" max="9411" width="14.7109375" style="3" customWidth="1"/>
    <col min="9412" max="9412" width="16.7109375" style="3" customWidth="1"/>
    <col min="9413" max="9414" width="14.7109375" style="3" customWidth="1"/>
    <col min="9415" max="9415" width="16.7109375" style="3" customWidth="1"/>
    <col min="9416" max="9417" width="14.7109375" style="3" customWidth="1"/>
    <col min="9418" max="9418" width="16.140625" style="3" customWidth="1"/>
    <col min="9419" max="9420" width="14.7109375" style="3" customWidth="1"/>
    <col min="9421" max="9421" width="15.7109375" style="3" customWidth="1"/>
    <col min="9422" max="9423" width="14.7109375" style="3" customWidth="1"/>
    <col min="9424" max="9424" width="16.7109375" style="3" customWidth="1"/>
    <col min="9425" max="9426" width="14.7109375" style="3" customWidth="1"/>
    <col min="9427" max="9427" width="17.7109375" style="3" customWidth="1"/>
    <col min="9428" max="9429" width="14.7109375" style="3" customWidth="1"/>
    <col min="9430" max="9430" width="16.7109375" style="3" customWidth="1"/>
    <col min="9431" max="9435" width="14.7109375" style="3" customWidth="1"/>
    <col min="9436" max="9436" width="16.5703125" style="3" customWidth="1"/>
    <col min="9437" max="9437" width="14.28515625" style="3" customWidth="1"/>
    <col min="9438" max="9438" width="15" style="3" customWidth="1"/>
    <col min="9439" max="9439" width="16.5703125" style="3" customWidth="1"/>
    <col min="9440" max="9441" width="14.7109375" style="3" customWidth="1"/>
    <col min="9442" max="9442" width="16.7109375" style="3" customWidth="1"/>
    <col min="9443" max="9444" width="14.7109375" style="3" customWidth="1"/>
    <col min="9445" max="9445" width="16.5703125" style="3" customWidth="1"/>
    <col min="9446" max="9446" width="18.140625" style="3" customWidth="1"/>
    <col min="9447" max="9656" width="9" style="3"/>
    <col min="9657" max="9657" width="3.140625" style="3" customWidth="1"/>
    <col min="9658" max="9658" width="13.42578125" style="3" customWidth="1"/>
    <col min="9659" max="9659" width="26.28515625" style="3" customWidth="1"/>
    <col min="9660" max="9661" width="17.7109375" style="3" customWidth="1"/>
    <col min="9662" max="9662" width="20.7109375" style="3" customWidth="1"/>
    <col min="9663" max="9664" width="14.7109375" style="3" customWidth="1"/>
    <col min="9665" max="9665" width="16.42578125" style="3" customWidth="1"/>
    <col min="9666" max="9667" width="14.7109375" style="3" customWidth="1"/>
    <col min="9668" max="9668" width="16.7109375" style="3" customWidth="1"/>
    <col min="9669" max="9670" width="14.7109375" style="3" customWidth="1"/>
    <col min="9671" max="9671" width="16.7109375" style="3" customWidth="1"/>
    <col min="9672" max="9673" width="14.7109375" style="3" customWidth="1"/>
    <col min="9674" max="9674" width="16.140625" style="3" customWidth="1"/>
    <col min="9675" max="9676" width="14.7109375" style="3" customWidth="1"/>
    <col min="9677" max="9677" width="15.7109375" style="3" customWidth="1"/>
    <col min="9678" max="9679" width="14.7109375" style="3" customWidth="1"/>
    <col min="9680" max="9680" width="16.7109375" style="3" customWidth="1"/>
    <col min="9681" max="9682" width="14.7109375" style="3" customWidth="1"/>
    <col min="9683" max="9683" width="17.7109375" style="3" customWidth="1"/>
    <col min="9684" max="9685" width="14.7109375" style="3" customWidth="1"/>
    <col min="9686" max="9686" width="16.7109375" style="3" customWidth="1"/>
    <col min="9687" max="9691" width="14.7109375" style="3" customWidth="1"/>
    <col min="9692" max="9692" width="16.5703125" style="3" customWidth="1"/>
    <col min="9693" max="9693" width="14.28515625" style="3" customWidth="1"/>
    <col min="9694" max="9694" width="15" style="3" customWidth="1"/>
    <col min="9695" max="9695" width="16.5703125" style="3" customWidth="1"/>
    <col min="9696" max="9697" width="14.7109375" style="3" customWidth="1"/>
    <col min="9698" max="9698" width="16.7109375" style="3" customWidth="1"/>
    <col min="9699" max="9700" width="14.7109375" style="3" customWidth="1"/>
    <col min="9701" max="9701" width="16.5703125" style="3" customWidth="1"/>
    <col min="9702" max="9702" width="18.140625" style="3" customWidth="1"/>
    <col min="9703" max="9912" width="9" style="3"/>
    <col min="9913" max="9913" width="3.140625" style="3" customWidth="1"/>
    <col min="9914" max="9914" width="13.42578125" style="3" customWidth="1"/>
    <col min="9915" max="9915" width="26.28515625" style="3" customWidth="1"/>
    <col min="9916" max="9917" width="17.7109375" style="3" customWidth="1"/>
    <col min="9918" max="9918" width="20.7109375" style="3" customWidth="1"/>
    <col min="9919" max="9920" width="14.7109375" style="3" customWidth="1"/>
    <col min="9921" max="9921" width="16.42578125" style="3" customWidth="1"/>
    <col min="9922" max="9923" width="14.7109375" style="3" customWidth="1"/>
    <col min="9924" max="9924" width="16.7109375" style="3" customWidth="1"/>
    <col min="9925" max="9926" width="14.7109375" style="3" customWidth="1"/>
    <col min="9927" max="9927" width="16.7109375" style="3" customWidth="1"/>
    <col min="9928" max="9929" width="14.7109375" style="3" customWidth="1"/>
    <col min="9930" max="9930" width="16.140625" style="3" customWidth="1"/>
    <col min="9931" max="9932" width="14.7109375" style="3" customWidth="1"/>
    <col min="9933" max="9933" width="15.7109375" style="3" customWidth="1"/>
    <col min="9934" max="9935" width="14.7109375" style="3" customWidth="1"/>
    <col min="9936" max="9936" width="16.7109375" style="3" customWidth="1"/>
    <col min="9937" max="9938" width="14.7109375" style="3" customWidth="1"/>
    <col min="9939" max="9939" width="17.7109375" style="3" customWidth="1"/>
    <col min="9940" max="9941" width="14.7109375" style="3" customWidth="1"/>
    <col min="9942" max="9942" width="16.7109375" style="3" customWidth="1"/>
    <col min="9943" max="9947" width="14.7109375" style="3" customWidth="1"/>
    <col min="9948" max="9948" width="16.5703125" style="3" customWidth="1"/>
    <col min="9949" max="9949" width="14.28515625" style="3" customWidth="1"/>
    <col min="9950" max="9950" width="15" style="3" customWidth="1"/>
    <col min="9951" max="9951" width="16.5703125" style="3" customWidth="1"/>
    <col min="9952" max="9953" width="14.7109375" style="3" customWidth="1"/>
    <col min="9954" max="9954" width="16.7109375" style="3" customWidth="1"/>
    <col min="9955" max="9956" width="14.7109375" style="3" customWidth="1"/>
    <col min="9957" max="9957" width="16.5703125" style="3" customWidth="1"/>
    <col min="9958" max="9958" width="18.140625" style="3" customWidth="1"/>
    <col min="9959" max="10168" width="9" style="3"/>
    <col min="10169" max="10169" width="3.140625" style="3" customWidth="1"/>
    <col min="10170" max="10170" width="13.42578125" style="3" customWidth="1"/>
    <col min="10171" max="10171" width="26.28515625" style="3" customWidth="1"/>
    <col min="10172" max="10173" width="17.7109375" style="3" customWidth="1"/>
    <col min="10174" max="10174" width="20.7109375" style="3" customWidth="1"/>
    <col min="10175" max="10176" width="14.7109375" style="3" customWidth="1"/>
    <col min="10177" max="10177" width="16.42578125" style="3" customWidth="1"/>
    <col min="10178" max="10179" width="14.7109375" style="3" customWidth="1"/>
    <col min="10180" max="10180" width="16.7109375" style="3" customWidth="1"/>
    <col min="10181" max="10182" width="14.7109375" style="3" customWidth="1"/>
    <col min="10183" max="10183" width="16.7109375" style="3" customWidth="1"/>
    <col min="10184" max="10185" width="14.7109375" style="3" customWidth="1"/>
    <col min="10186" max="10186" width="16.140625" style="3" customWidth="1"/>
    <col min="10187" max="10188" width="14.7109375" style="3" customWidth="1"/>
    <col min="10189" max="10189" width="15.7109375" style="3" customWidth="1"/>
    <col min="10190" max="10191" width="14.7109375" style="3" customWidth="1"/>
    <col min="10192" max="10192" width="16.7109375" style="3" customWidth="1"/>
    <col min="10193" max="10194" width="14.7109375" style="3" customWidth="1"/>
    <col min="10195" max="10195" width="17.7109375" style="3" customWidth="1"/>
    <col min="10196" max="10197" width="14.7109375" style="3" customWidth="1"/>
    <col min="10198" max="10198" width="16.7109375" style="3" customWidth="1"/>
    <col min="10199" max="10203" width="14.7109375" style="3" customWidth="1"/>
    <col min="10204" max="10204" width="16.5703125" style="3" customWidth="1"/>
    <col min="10205" max="10205" width="14.28515625" style="3" customWidth="1"/>
    <col min="10206" max="10206" width="15" style="3" customWidth="1"/>
    <col min="10207" max="10207" width="16.5703125" style="3" customWidth="1"/>
    <col min="10208" max="10209" width="14.7109375" style="3" customWidth="1"/>
    <col min="10210" max="10210" width="16.7109375" style="3" customWidth="1"/>
    <col min="10211" max="10212" width="14.7109375" style="3" customWidth="1"/>
    <col min="10213" max="10213" width="16.5703125" style="3" customWidth="1"/>
    <col min="10214" max="10214" width="18.140625" style="3" customWidth="1"/>
    <col min="10215" max="10424" width="9" style="3"/>
    <col min="10425" max="10425" width="3.140625" style="3" customWidth="1"/>
    <col min="10426" max="10426" width="13.42578125" style="3" customWidth="1"/>
    <col min="10427" max="10427" width="26.28515625" style="3" customWidth="1"/>
    <col min="10428" max="10429" width="17.7109375" style="3" customWidth="1"/>
    <col min="10430" max="10430" width="20.7109375" style="3" customWidth="1"/>
    <col min="10431" max="10432" width="14.7109375" style="3" customWidth="1"/>
    <col min="10433" max="10433" width="16.42578125" style="3" customWidth="1"/>
    <col min="10434" max="10435" width="14.7109375" style="3" customWidth="1"/>
    <col min="10436" max="10436" width="16.7109375" style="3" customWidth="1"/>
    <col min="10437" max="10438" width="14.7109375" style="3" customWidth="1"/>
    <col min="10439" max="10439" width="16.7109375" style="3" customWidth="1"/>
    <col min="10440" max="10441" width="14.7109375" style="3" customWidth="1"/>
    <col min="10442" max="10442" width="16.140625" style="3" customWidth="1"/>
    <col min="10443" max="10444" width="14.7109375" style="3" customWidth="1"/>
    <col min="10445" max="10445" width="15.7109375" style="3" customWidth="1"/>
    <col min="10446" max="10447" width="14.7109375" style="3" customWidth="1"/>
    <col min="10448" max="10448" width="16.7109375" style="3" customWidth="1"/>
    <col min="10449" max="10450" width="14.7109375" style="3" customWidth="1"/>
    <col min="10451" max="10451" width="17.7109375" style="3" customWidth="1"/>
    <col min="10452" max="10453" width="14.7109375" style="3" customWidth="1"/>
    <col min="10454" max="10454" width="16.7109375" style="3" customWidth="1"/>
    <col min="10455" max="10459" width="14.7109375" style="3" customWidth="1"/>
    <col min="10460" max="10460" width="16.5703125" style="3" customWidth="1"/>
    <col min="10461" max="10461" width="14.28515625" style="3" customWidth="1"/>
    <col min="10462" max="10462" width="15" style="3" customWidth="1"/>
    <col min="10463" max="10463" width="16.5703125" style="3" customWidth="1"/>
    <col min="10464" max="10465" width="14.7109375" style="3" customWidth="1"/>
    <col min="10466" max="10466" width="16.7109375" style="3" customWidth="1"/>
    <col min="10467" max="10468" width="14.7109375" style="3" customWidth="1"/>
    <col min="10469" max="10469" width="16.5703125" style="3" customWidth="1"/>
    <col min="10470" max="10470" width="18.140625" style="3" customWidth="1"/>
    <col min="10471" max="10680" width="9" style="3"/>
    <col min="10681" max="10681" width="3.140625" style="3" customWidth="1"/>
    <col min="10682" max="10682" width="13.42578125" style="3" customWidth="1"/>
    <col min="10683" max="10683" width="26.28515625" style="3" customWidth="1"/>
    <col min="10684" max="10685" width="17.7109375" style="3" customWidth="1"/>
    <col min="10686" max="10686" width="20.7109375" style="3" customWidth="1"/>
    <col min="10687" max="10688" width="14.7109375" style="3" customWidth="1"/>
    <col min="10689" max="10689" width="16.42578125" style="3" customWidth="1"/>
    <col min="10690" max="10691" width="14.7109375" style="3" customWidth="1"/>
    <col min="10692" max="10692" width="16.7109375" style="3" customWidth="1"/>
    <col min="10693" max="10694" width="14.7109375" style="3" customWidth="1"/>
    <col min="10695" max="10695" width="16.7109375" style="3" customWidth="1"/>
    <col min="10696" max="10697" width="14.7109375" style="3" customWidth="1"/>
    <col min="10698" max="10698" width="16.140625" style="3" customWidth="1"/>
    <col min="10699" max="10700" width="14.7109375" style="3" customWidth="1"/>
    <col min="10701" max="10701" width="15.7109375" style="3" customWidth="1"/>
    <col min="10702" max="10703" width="14.7109375" style="3" customWidth="1"/>
    <col min="10704" max="10704" width="16.7109375" style="3" customWidth="1"/>
    <col min="10705" max="10706" width="14.7109375" style="3" customWidth="1"/>
    <col min="10707" max="10707" width="17.7109375" style="3" customWidth="1"/>
    <col min="10708" max="10709" width="14.7109375" style="3" customWidth="1"/>
    <col min="10710" max="10710" width="16.7109375" style="3" customWidth="1"/>
    <col min="10711" max="10715" width="14.7109375" style="3" customWidth="1"/>
    <col min="10716" max="10716" width="16.5703125" style="3" customWidth="1"/>
    <col min="10717" max="10717" width="14.28515625" style="3" customWidth="1"/>
    <col min="10718" max="10718" width="15" style="3" customWidth="1"/>
    <col min="10719" max="10719" width="16.5703125" style="3" customWidth="1"/>
    <col min="10720" max="10721" width="14.7109375" style="3" customWidth="1"/>
    <col min="10722" max="10722" width="16.7109375" style="3" customWidth="1"/>
    <col min="10723" max="10724" width="14.7109375" style="3" customWidth="1"/>
    <col min="10725" max="10725" width="16.5703125" style="3" customWidth="1"/>
    <col min="10726" max="10726" width="18.140625" style="3" customWidth="1"/>
    <col min="10727" max="10936" width="9" style="3"/>
    <col min="10937" max="10937" width="3.140625" style="3" customWidth="1"/>
    <col min="10938" max="10938" width="13.42578125" style="3" customWidth="1"/>
    <col min="10939" max="10939" width="26.28515625" style="3" customWidth="1"/>
    <col min="10940" max="10941" width="17.7109375" style="3" customWidth="1"/>
    <col min="10942" max="10942" width="20.7109375" style="3" customWidth="1"/>
    <col min="10943" max="10944" width="14.7109375" style="3" customWidth="1"/>
    <col min="10945" max="10945" width="16.42578125" style="3" customWidth="1"/>
    <col min="10946" max="10947" width="14.7109375" style="3" customWidth="1"/>
    <col min="10948" max="10948" width="16.7109375" style="3" customWidth="1"/>
    <col min="10949" max="10950" width="14.7109375" style="3" customWidth="1"/>
    <col min="10951" max="10951" width="16.7109375" style="3" customWidth="1"/>
    <col min="10952" max="10953" width="14.7109375" style="3" customWidth="1"/>
    <col min="10954" max="10954" width="16.140625" style="3" customWidth="1"/>
    <col min="10955" max="10956" width="14.7109375" style="3" customWidth="1"/>
    <col min="10957" max="10957" width="15.7109375" style="3" customWidth="1"/>
    <col min="10958" max="10959" width="14.7109375" style="3" customWidth="1"/>
    <col min="10960" max="10960" width="16.7109375" style="3" customWidth="1"/>
    <col min="10961" max="10962" width="14.7109375" style="3" customWidth="1"/>
    <col min="10963" max="10963" width="17.7109375" style="3" customWidth="1"/>
    <col min="10964" max="10965" width="14.7109375" style="3" customWidth="1"/>
    <col min="10966" max="10966" width="16.7109375" style="3" customWidth="1"/>
    <col min="10967" max="10971" width="14.7109375" style="3" customWidth="1"/>
    <col min="10972" max="10972" width="16.5703125" style="3" customWidth="1"/>
    <col min="10973" max="10973" width="14.28515625" style="3" customWidth="1"/>
    <col min="10974" max="10974" width="15" style="3" customWidth="1"/>
    <col min="10975" max="10975" width="16.5703125" style="3" customWidth="1"/>
    <col min="10976" max="10977" width="14.7109375" style="3" customWidth="1"/>
    <col min="10978" max="10978" width="16.7109375" style="3" customWidth="1"/>
    <col min="10979" max="10980" width="14.7109375" style="3" customWidth="1"/>
    <col min="10981" max="10981" width="16.5703125" style="3" customWidth="1"/>
    <col min="10982" max="10982" width="18.140625" style="3" customWidth="1"/>
    <col min="10983" max="11192" width="9" style="3"/>
    <col min="11193" max="11193" width="3.140625" style="3" customWidth="1"/>
    <col min="11194" max="11194" width="13.42578125" style="3" customWidth="1"/>
    <col min="11195" max="11195" width="26.28515625" style="3" customWidth="1"/>
    <col min="11196" max="11197" width="17.7109375" style="3" customWidth="1"/>
    <col min="11198" max="11198" width="20.7109375" style="3" customWidth="1"/>
    <col min="11199" max="11200" width="14.7109375" style="3" customWidth="1"/>
    <col min="11201" max="11201" width="16.42578125" style="3" customWidth="1"/>
    <col min="11202" max="11203" width="14.7109375" style="3" customWidth="1"/>
    <col min="11204" max="11204" width="16.7109375" style="3" customWidth="1"/>
    <col min="11205" max="11206" width="14.7109375" style="3" customWidth="1"/>
    <col min="11207" max="11207" width="16.7109375" style="3" customWidth="1"/>
    <col min="11208" max="11209" width="14.7109375" style="3" customWidth="1"/>
    <col min="11210" max="11210" width="16.140625" style="3" customWidth="1"/>
    <col min="11211" max="11212" width="14.7109375" style="3" customWidth="1"/>
    <col min="11213" max="11213" width="15.7109375" style="3" customWidth="1"/>
    <col min="11214" max="11215" width="14.7109375" style="3" customWidth="1"/>
    <col min="11216" max="11216" width="16.7109375" style="3" customWidth="1"/>
    <col min="11217" max="11218" width="14.7109375" style="3" customWidth="1"/>
    <col min="11219" max="11219" width="17.7109375" style="3" customWidth="1"/>
    <col min="11220" max="11221" width="14.7109375" style="3" customWidth="1"/>
    <col min="11222" max="11222" width="16.7109375" style="3" customWidth="1"/>
    <col min="11223" max="11227" width="14.7109375" style="3" customWidth="1"/>
    <col min="11228" max="11228" width="16.5703125" style="3" customWidth="1"/>
    <col min="11229" max="11229" width="14.28515625" style="3" customWidth="1"/>
    <col min="11230" max="11230" width="15" style="3" customWidth="1"/>
    <col min="11231" max="11231" width="16.5703125" style="3" customWidth="1"/>
    <col min="11232" max="11233" width="14.7109375" style="3" customWidth="1"/>
    <col min="11234" max="11234" width="16.7109375" style="3" customWidth="1"/>
    <col min="11235" max="11236" width="14.7109375" style="3" customWidth="1"/>
    <col min="11237" max="11237" width="16.5703125" style="3" customWidth="1"/>
    <col min="11238" max="11238" width="18.140625" style="3" customWidth="1"/>
    <col min="11239" max="11448" width="9" style="3"/>
    <col min="11449" max="11449" width="3.140625" style="3" customWidth="1"/>
    <col min="11450" max="11450" width="13.42578125" style="3" customWidth="1"/>
    <col min="11451" max="11451" width="26.28515625" style="3" customWidth="1"/>
    <col min="11452" max="11453" width="17.7109375" style="3" customWidth="1"/>
    <col min="11454" max="11454" width="20.7109375" style="3" customWidth="1"/>
    <col min="11455" max="11456" width="14.7109375" style="3" customWidth="1"/>
    <col min="11457" max="11457" width="16.42578125" style="3" customWidth="1"/>
    <col min="11458" max="11459" width="14.7109375" style="3" customWidth="1"/>
    <col min="11460" max="11460" width="16.7109375" style="3" customWidth="1"/>
    <col min="11461" max="11462" width="14.7109375" style="3" customWidth="1"/>
    <col min="11463" max="11463" width="16.7109375" style="3" customWidth="1"/>
    <col min="11464" max="11465" width="14.7109375" style="3" customWidth="1"/>
    <col min="11466" max="11466" width="16.140625" style="3" customWidth="1"/>
    <col min="11467" max="11468" width="14.7109375" style="3" customWidth="1"/>
    <col min="11469" max="11469" width="15.7109375" style="3" customWidth="1"/>
    <col min="11470" max="11471" width="14.7109375" style="3" customWidth="1"/>
    <col min="11472" max="11472" width="16.7109375" style="3" customWidth="1"/>
    <col min="11473" max="11474" width="14.7109375" style="3" customWidth="1"/>
    <col min="11475" max="11475" width="17.7109375" style="3" customWidth="1"/>
    <col min="11476" max="11477" width="14.7109375" style="3" customWidth="1"/>
    <col min="11478" max="11478" width="16.7109375" style="3" customWidth="1"/>
    <col min="11479" max="11483" width="14.7109375" style="3" customWidth="1"/>
    <col min="11484" max="11484" width="16.5703125" style="3" customWidth="1"/>
    <col min="11485" max="11485" width="14.28515625" style="3" customWidth="1"/>
    <col min="11486" max="11486" width="15" style="3" customWidth="1"/>
    <col min="11487" max="11487" width="16.5703125" style="3" customWidth="1"/>
    <col min="11488" max="11489" width="14.7109375" style="3" customWidth="1"/>
    <col min="11490" max="11490" width="16.7109375" style="3" customWidth="1"/>
    <col min="11491" max="11492" width="14.7109375" style="3" customWidth="1"/>
    <col min="11493" max="11493" width="16.5703125" style="3" customWidth="1"/>
    <col min="11494" max="11494" width="18.140625" style="3" customWidth="1"/>
    <col min="11495" max="11704" width="9" style="3"/>
    <col min="11705" max="11705" width="3.140625" style="3" customWidth="1"/>
    <col min="11706" max="11706" width="13.42578125" style="3" customWidth="1"/>
    <col min="11707" max="11707" width="26.28515625" style="3" customWidth="1"/>
    <col min="11708" max="11709" width="17.7109375" style="3" customWidth="1"/>
    <col min="11710" max="11710" width="20.7109375" style="3" customWidth="1"/>
    <col min="11711" max="11712" width="14.7109375" style="3" customWidth="1"/>
    <col min="11713" max="11713" width="16.42578125" style="3" customWidth="1"/>
    <col min="11714" max="11715" width="14.7109375" style="3" customWidth="1"/>
    <col min="11716" max="11716" width="16.7109375" style="3" customWidth="1"/>
    <col min="11717" max="11718" width="14.7109375" style="3" customWidth="1"/>
    <col min="11719" max="11719" width="16.7109375" style="3" customWidth="1"/>
    <col min="11720" max="11721" width="14.7109375" style="3" customWidth="1"/>
    <col min="11722" max="11722" width="16.140625" style="3" customWidth="1"/>
    <col min="11723" max="11724" width="14.7109375" style="3" customWidth="1"/>
    <col min="11725" max="11725" width="15.7109375" style="3" customWidth="1"/>
    <col min="11726" max="11727" width="14.7109375" style="3" customWidth="1"/>
    <col min="11728" max="11728" width="16.7109375" style="3" customWidth="1"/>
    <col min="11729" max="11730" width="14.7109375" style="3" customWidth="1"/>
    <col min="11731" max="11731" width="17.7109375" style="3" customWidth="1"/>
    <col min="11732" max="11733" width="14.7109375" style="3" customWidth="1"/>
    <col min="11734" max="11734" width="16.7109375" style="3" customWidth="1"/>
    <col min="11735" max="11739" width="14.7109375" style="3" customWidth="1"/>
    <col min="11740" max="11740" width="16.5703125" style="3" customWidth="1"/>
    <col min="11741" max="11741" width="14.28515625" style="3" customWidth="1"/>
    <col min="11742" max="11742" width="15" style="3" customWidth="1"/>
    <col min="11743" max="11743" width="16.5703125" style="3" customWidth="1"/>
    <col min="11744" max="11745" width="14.7109375" style="3" customWidth="1"/>
    <col min="11746" max="11746" width="16.7109375" style="3" customWidth="1"/>
    <col min="11747" max="11748" width="14.7109375" style="3" customWidth="1"/>
    <col min="11749" max="11749" width="16.5703125" style="3" customWidth="1"/>
    <col min="11750" max="11750" width="18.140625" style="3" customWidth="1"/>
    <col min="11751" max="11960" width="9" style="3"/>
    <col min="11961" max="11961" width="3.140625" style="3" customWidth="1"/>
    <col min="11962" max="11962" width="13.42578125" style="3" customWidth="1"/>
    <col min="11963" max="11963" width="26.28515625" style="3" customWidth="1"/>
    <col min="11964" max="11965" width="17.7109375" style="3" customWidth="1"/>
    <col min="11966" max="11966" width="20.7109375" style="3" customWidth="1"/>
    <col min="11967" max="11968" width="14.7109375" style="3" customWidth="1"/>
    <col min="11969" max="11969" width="16.42578125" style="3" customWidth="1"/>
    <col min="11970" max="11971" width="14.7109375" style="3" customWidth="1"/>
    <col min="11972" max="11972" width="16.7109375" style="3" customWidth="1"/>
    <col min="11973" max="11974" width="14.7109375" style="3" customWidth="1"/>
    <col min="11975" max="11975" width="16.7109375" style="3" customWidth="1"/>
    <col min="11976" max="11977" width="14.7109375" style="3" customWidth="1"/>
    <col min="11978" max="11978" width="16.140625" style="3" customWidth="1"/>
    <col min="11979" max="11980" width="14.7109375" style="3" customWidth="1"/>
    <col min="11981" max="11981" width="15.7109375" style="3" customWidth="1"/>
    <col min="11982" max="11983" width="14.7109375" style="3" customWidth="1"/>
    <col min="11984" max="11984" width="16.7109375" style="3" customWidth="1"/>
    <col min="11985" max="11986" width="14.7109375" style="3" customWidth="1"/>
    <col min="11987" max="11987" width="17.7109375" style="3" customWidth="1"/>
    <col min="11988" max="11989" width="14.7109375" style="3" customWidth="1"/>
    <col min="11990" max="11990" width="16.7109375" style="3" customWidth="1"/>
    <col min="11991" max="11995" width="14.7109375" style="3" customWidth="1"/>
    <col min="11996" max="11996" width="16.5703125" style="3" customWidth="1"/>
    <col min="11997" max="11997" width="14.28515625" style="3" customWidth="1"/>
    <col min="11998" max="11998" width="15" style="3" customWidth="1"/>
    <col min="11999" max="11999" width="16.5703125" style="3" customWidth="1"/>
    <col min="12000" max="12001" width="14.7109375" style="3" customWidth="1"/>
    <col min="12002" max="12002" width="16.7109375" style="3" customWidth="1"/>
    <col min="12003" max="12004" width="14.7109375" style="3" customWidth="1"/>
    <col min="12005" max="12005" width="16.5703125" style="3" customWidth="1"/>
    <col min="12006" max="12006" width="18.140625" style="3" customWidth="1"/>
    <col min="12007" max="12216" width="9" style="3"/>
    <col min="12217" max="12217" width="3.140625" style="3" customWidth="1"/>
    <col min="12218" max="12218" width="13.42578125" style="3" customWidth="1"/>
    <col min="12219" max="12219" width="26.28515625" style="3" customWidth="1"/>
    <col min="12220" max="12221" width="17.7109375" style="3" customWidth="1"/>
    <col min="12222" max="12222" width="20.7109375" style="3" customWidth="1"/>
    <col min="12223" max="12224" width="14.7109375" style="3" customWidth="1"/>
    <col min="12225" max="12225" width="16.42578125" style="3" customWidth="1"/>
    <col min="12226" max="12227" width="14.7109375" style="3" customWidth="1"/>
    <col min="12228" max="12228" width="16.7109375" style="3" customWidth="1"/>
    <col min="12229" max="12230" width="14.7109375" style="3" customWidth="1"/>
    <col min="12231" max="12231" width="16.7109375" style="3" customWidth="1"/>
    <col min="12232" max="12233" width="14.7109375" style="3" customWidth="1"/>
    <col min="12234" max="12234" width="16.140625" style="3" customWidth="1"/>
    <col min="12235" max="12236" width="14.7109375" style="3" customWidth="1"/>
    <col min="12237" max="12237" width="15.7109375" style="3" customWidth="1"/>
    <col min="12238" max="12239" width="14.7109375" style="3" customWidth="1"/>
    <col min="12240" max="12240" width="16.7109375" style="3" customWidth="1"/>
    <col min="12241" max="12242" width="14.7109375" style="3" customWidth="1"/>
    <col min="12243" max="12243" width="17.7109375" style="3" customWidth="1"/>
    <col min="12244" max="12245" width="14.7109375" style="3" customWidth="1"/>
    <col min="12246" max="12246" width="16.7109375" style="3" customWidth="1"/>
    <col min="12247" max="12251" width="14.7109375" style="3" customWidth="1"/>
    <col min="12252" max="12252" width="16.5703125" style="3" customWidth="1"/>
    <col min="12253" max="12253" width="14.28515625" style="3" customWidth="1"/>
    <col min="12254" max="12254" width="15" style="3" customWidth="1"/>
    <col min="12255" max="12255" width="16.5703125" style="3" customWidth="1"/>
    <col min="12256" max="12257" width="14.7109375" style="3" customWidth="1"/>
    <col min="12258" max="12258" width="16.7109375" style="3" customWidth="1"/>
    <col min="12259" max="12260" width="14.7109375" style="3" customWidth="1"/>
    <col min="12261" max="12261" width="16.5703125" style="3" customWidth="1"/>
    <col min="12262" max="12262" width="18.140625" style="3" customWidth="1"/>
    <col min="12263" max="12472" width="9" style="3"/>
    <col min="12473" max="12473" width="3.140625" style="3" customWidth="1"/>
    <col min="12474" max="12474" width="13.42578125" style="3" customWidth="1"/>
    <col min="12475" max="12475" width="26.28515625" style="3" customWidth="1"/>
    <col min="12476" max="12477" width="17.7109375" style="3" customWidth="1"/>
    <col min="12478" max="12478" width="20.7109375" style="3" customWidth="1"/>
    <col min="12479" max="12480" width="14.7109375" style="3" customWidth="1"/>
    <col min="12481" max="12481" width="16.42578125" style="3" customWidth="1"/>
    <col min="12482" max="12483" width="14.7109375" style="3" customWidth="1"/>
    <col min="12484" max="12484" width="16.7109375" style="3" customWidth="1"/>
    <col min="12485" max="12486" width="14.7109375" style="3" customWidth="1"/>
    <col min="12487" max="12487" width="16.7109375" style="3" customWidth="1"/>
    <col min="12488" max="12489" width="14.7109375" style="3" customWidth="1"/>
    <col min="12490" max="12490" width="16.140625" style="3" customWidth="1"/>
    <col min="12491" max="12492" width="14.7109375" style="3" customWidth="1"/>
    <col min="12493" max="12493" width="15.7109375" style="3" customWidth="1"/>
    <col min="12494" max="12495" width="14.7109375" style="3" customWidth="1"/>
    <col min="12496" max="12496" width="16.7109375" style="3" customWidth="1"/>
    <col min="12497" max="12498" width="14.7109375" style="3" customWidth="1"/>
    <col min="12499" max="12499" width="17.7109375" style="3" customWidth="1"/>
    <col min="12500" max="12501" width="14.7109375" style="3" customWidth="1"/>
    <col min="12502" max="12502" width="16.7109375" style="3" customWidth="1"/>
    <col min="12503" max="12507" width="14.7109375" style="3" customWidth="1"/>
    <col min="12508" max="12508" width="16.5703125" style="3" customWidth="1"/>
    <col min="12509" max="12509" width="14.28515625" style="3" customWidth="1"/>
    <col min="12510" max="12510" width="15" style="3" customWidth="1"/>
    <col min="12511" max="12511" width="16.5703125" style="3" customWidth="1"/>
    <col min="12512" max="12513" width="14.7109375" style="3" customWidth="1"/>
    <col min="12514" max="12514" width="16.7109375" style="3" customWidth="1"/>
    <col min="12515" max="12516" width="14.7109375" style="3" customWidth="1"/>
    <col min="12517" max="12517" width="16.5703125" style="3" customWidth="1"/>
    <col min="12518" max="12518" width="18.140625" style="3" customWidth="1"/>
    <col min="12519" max="12728" width="9" style="3"/>
    <col min="12729" max="12729" width="3.140625" style="3" customWidth="1"/>
    <col min="12730" max="12730" width="13.42578125" style="3" customWidth="1"/>
    <col min="12731" max="12731" width="26.28515625" style="3" customWidth="1"/>
    <col min="12732" max="12733" width="17.7109375" style="3" customWidth="1"/>
    <col min="12734" max="12734" width="20.7109375" style="3" customWidth="1"/>
    <col min="12735" max="12736" width="14.7109375" style="3" customWidth="1"/>
    <col min="12737" max="12737" width="16.42578125" style="3" customWidth="1"/>
    <col min="12738" max="12739" width="14.7109375" style="3" customWidth="1"/>
    <col min="12740" max="12740" width="16.7109375" style="3" customWidth="1"/>
    <col min="12741" max="12742" width="14.7109375" style="3" customWidth="1"/>
    <col min="12743" max="12743" width="16.7109375" style="3" customWidth="1"/>
    <col min="12744" max="12745" width="14.7109375" style="3" customWidth="1"/>
    <col min="12746" max="12746" width="16.140625" style="3" customWidth="1"/>
    <col min="12747" max="12748" width="14.7109375" style="3" customWidth="1"/>
    <col min="12749" max="12749" width="15.7109375" style="3" customWidth="1"/>
    <col min="12750" max="12751" width="14.7109375" style="3" customWidth="1"/>
    <col min="12752" max="12752" width="16.7109375" style="3" customWidth="1"/>
    <col min="12753" max="12754" width="14.7109375" style="3" customWidth="1"/>
    <col min="12755" max="12755" width="17.7109375" style="3" customWidth="1"/>
    <col min="12756" max="12757" width="14.7109375" style="3" customWidth="1"/>
    <col min="12758" max="12758" width="16.7109375" style="3" customWidth="1"/>
    <col min="12759" max="12763" width="14.7109375" style="3" customWidth="1"/>
    <col min="12764" max="12764" width="16.5703125" style="3" customWidth="1"/>
    <col min="12765" max="12765" width="14.28515625" style="3" customWidth="1"/>
    <col min="12766" max="12766" width="15" style="3" customWidth="1"/>
    <col min="12767" max="12767" width="16.5703125" style="3" customWidth="1"/>
    <col min="12768" max="12769" width="14.7109375" style="3" customWidth="1"/>
    <col min="12770" max="12770" width="16.7109375" style="3" customWidth="1"/>
    <col min="12771" max="12772" width="14.7109375" style="3" customWidth="1"/>
    <col min="12773" max="12773" width="16.5703125" style="3" customWidth="1"/>
    <col min="12774" max="12774" width="18.140625" style="3" customWidth="1"/>
    <col min="12775" max="12984" width="9" style="3"/>
    <col min="12985" max="12985" width="3.140625" style="3" customWidth="1"/>
    <col min="12986" max="12986" width="13.42578125" style="3" customWidth="1"/>
    <col min="12987" max="12987" width="26.28515625" style="3" customWidth="1"/>
    <col min="12988" max="12989" width="17.7109375" style="3" customWidth="1"/>
    <col min="12990" max="12990" width="20.7109375" style="3" customWidth="1"/>
    <col min="12991" max="12992" width="14.7109375" style="3" customWidth="1"/>
    <col min="12993" max="12993" width="16.42578125" style="3" customWidth="1"/>
    <col min="12994" max="12995" width="14.7109375" style="3" customWidth="1"/>
    <col min="12996" max="12996" width="16.7109375" style="3" customWidth="1"/>
    <col min="12997" max="12998" width="14.7109375" style="3" customWidth="1"/>
    <col min="12999" max="12999" width="16.7109375" style="3" customWidth="1"/>
    <col min="13000" max="13001" width="14.7109375" style="3" customWidth="1"/>
    <col min="13002" max="13002" width="16.140625" style="3" customWidth="1"/>
    <col min="13003" max="13004" width="14.7109375" style="3" customWidth="1"/>
    <col min="13005" max="13005" width="15.7109375" style="3" customWidth="1"/>
    <col min="13006" max="13007" width="14.7109375" style="3" customWidth="1"/>
    <col min="13008" max="13008" width="16.7109375" style="3" customWidth="1"/>
    <col min="13009" max="13010" width="14.7109375" style="3" customWidth="1"/>
    <col min="13011" max="13011" width="17.7109375" style="3" customWidth="1"/>
    <col min="13012" max="13013" width="14.7109375" style="3" customWidth="1"/>
    <col min="13014" max="13014" width="16.7109375" style="3" customWidth="1"/>
    <col min="13015" max="13019" width="14.7109375" style="3" customWidth="1"/>
    <col min="13020" max="13020" width="16.5703125" style="3" customWidth="1"/>
    <col min="13021" max="13021" width="14.28515625" style="3" customWidth="1"/>
    <col min="13022" max="13022" width="15" style="3" customWidth="1"/>
    <col min="13023" max="13023" width="16.5703125" style="3" customWidth="1"/>
    <col min="13024" max="13025" width="14.7109375" style="3" customWidth="1"/>
    <col min="13026" max="13026" width="16.7109375" style="3" customWidth="1"/>
    <col min="13027" max="13028" width="14.7109375" style="3" customWidth="1"/>
    <col min="13029" max="13029" width="16.5703125" style="3" customWidth="1"/>
    <col min="13030" max="13030" width="18.140625" style="3" customWidth="1"/>
    <col min="13031" max="13240" width="9" style="3"/>
    <col min="13241" max="13241" width="3.140625" style="3" customWidth="1"/>
    <col min="13242" max="13242" width="13.42578125" style="3" customWidth="1"/>
    <col min="13243" max="13243" width="26.28515625" style="3" customWidth="1"/>
    <col min="13244" max="13245" width="17.7109375" style="3" customWidth="1"/>
    <col min="13246" max="13246" width="20.7109375" style="3" customWidth="1"/>
    <col min="13247" max="13248" width="14.7109375" style="3" customWidth="1"/>
    <col min="13249" max="13249" width="16.42578125" style="3" customWidth="1"/>
    <col min="13250" max="13251" width="14.7109375" style="3" customWidth="1"/>
    <col min="13252" max="13252" width="16.7109375" style="3" customWidth="1"/>
    <col min="13253" max="13254" width="14.7109375" style="3" customWidth="1"/>
    <col min="13255" max="13255" width="16.7109375" style="3" customWidth="1"/>
    <col min="13256" max="13257" width="14.7109375" style="3" customWidth="1"/>
    <col min="13258" max="13258" width="16.140625" style="3" customWidth="1"/>
    <col min="13259" max="13260" width="14.7109375" style="3" customWidth="1"/>
    <col min="13261" max="13261" width="15.7109375" style="3" customWidth="1"/>
    <col min="13262" max="13263" width="14.7109375" style="3" customWidth="1"/>
    <col min="13264" max="13264" width="16.7109375" style="3" customWidth="1"/>
    <col min="13265" max="13266" width="14.7109375" style="3" customWidth="1"/>
    <col min="13267" max="13267" width="17.7109375" style="3" customWidth="1"/>
    <col min="13268" max="13269" width="14.7109375" style="3" customWidth="1"/>
    <col min="13270" max="13270" width="16.7109375" style="3" customWidth="1"/>
    <col min="13271" max="13275" width="14.7109375" style="3" customWidth="1"/>
    <col min="13276" max="13276" width="16.5703125" style="3" customWidth="1"/>
    <col min="13277" max="13277" width="14.28515625" style="3" customWidth="1"/>
    <col min="13278" max="13278" width="15" style="3" customWidth="1"/>
    <col min="13279" max="13279" width="16.5703125" style="3" customWidth="1"/>
    <col min="13280" max="13281" width="14.7109375" style="3" customWidth="1"/>
    <col min="13282" max="13282" width="16.7109375" style="3" customWidth="1"/>
    <col min="13283" max="13284" width="14.7109375" style="3" customWidth="1"/>
    <col min="13285" max="13285" width="16.5703125" style="3" customWidth="1"/>
    <col min="13286" max="13286" width="18.140625" style="3" customWidth="1"/>
    <col min="13287" max="13496" width="9" style="3"/>
    <col min="13497" max="13497" width="3.140625" style="3" customWidth="1"/>
    <col min="13498" max="13498" width="13.42578125" style="3" customWidth="1"/>
    <col min="13499" max="13499" width="26.28515625" style="3" customWidth="1"/>
    <col min="13500" max="13501" width="17.7109375" style="3" customWidth="1"/>
    <col min="13502" max="13502" width="20.7109375" style="3" customWidth="1"/>
    <col min="13503" max="13504" width="14.7109375" style="3" customWidth="1"/>
    <col min="13505" max="13505" width="16.42578125" style="3" customWidth="1"/>
    <col min="13506" max="13507" width="14.7109375" style="3" customWidth="1"/>
    <col min="13508" max="13508" width="16.7109375" style="3" customWidth="1"/>
    <col min="13509" max="13510" width="14.7109375" style="3" customWidth="1"/>
    <col min="13511" max="13511" width="16.7109375" style="3" customWidth="1"/>
    <col min="13512" max="13513" width="14.7109375" style="3" customWidth="1"/>
    <col min="13514" max="13514" width="16.140625" style="3" customWidth="1"/>
    <col min="13515" max="13516" width="14.7109375" style="3" customWidth="1"/>
    <col min="13517" max="13517" width="15.7109375" style="3" customWidth="1"/>
    <col min="13518" max="13519" width="14.7109375" style="3" customWidth="1"/>
    <col min="13520" max="13520" width="16.7109375" style="3" customWidth="1"/>
    <col min="13521" max="13522" width="14.7109375" style="3" customWidth="1"/>
    <col min="13523" max="13523" width="17.7109375" style="3" customWidth="1"/>
    <col min="13524" max="13525" width="14.7109375" style="3" customWidth="1"/>
    <col min="13526" max="13526" width="16.7109375" style="3" customWidth="1"/>
    <col min="13527" max="13531" width="14.7109375" style="3" customWidth="1"/>
    <col min="13532" max="13532" width="16.5703125" style="3" customWidth="1"/>
    <col min="13533" max="13533" width="14.28515625" style="3" customWidth="1"/>
    <col min="13534" max="13534" width="15" style="3" customWidth="1"/>
    <col min="13535" max="13535" width="16.5703125" style="3" customWidth="1"/>
    <col min="13536" max="13537" width="14.7109375" style="3" customWidth="1"/>
    <col min="13538" max="13538" width="16.7109375" style="3" customWidth="1"/>
    <col min="13539" max="13540" width="14.7109375" style="3" customWidth="1"/>
    <col min="13541" max="13541" width="16.5703125" style="3" customWidth="1"/>
    <col min="13542" max="13542" width="18.140625" style="3" customWidth="1"/>
    <col min="13543" max="13752" width="9" style="3"/>
    <col min="13753" max="13753" width="3.140625" style="3" customWidth="1"/>
    <col min="13754" max="13754" width="13.42578125" style="3" customWidth="1"/>
    <col min="13755" max="13755" width="26.28515625" style="3" customWidth="1"/>
    <col min="13756" max="13757" width="17.7109375" style="3" customWidth="1"/>
    <col min="13758" max="13758" width="20.7109375" style="3" customWidth="1"/>
    <col min="13759" max="13760" width="14.7109375" style="3" customWidth="1"/>
    <col min="13761" max="13761" width="16.42578125" style="3" customWidth="1"/>
    <col min="13762" max="13763" width="14.7109375" style="3" customWidth="1"/>
    <col min="13764" max="13764" width="16.7109375" style="3" customWidth="1"/>
    <col min="13765" max="13766" width="14.7109375" style="3" customWidth="1"/>
    <col min="13767" max="13767" width="16.7109375" style="3" customWidth="1"/>
    <col min="13768" max="13769" width="14.7109375" style="3" customWidth="1"/>
    <col min="13770" max="13770" width="16.140625" style="3" customWidth="1"/>
    <col min="13771" max="13772" width="14.7109375" style="3" customWidth="1"/>
    <col min="13773" max="13773" width="15.7109375" style="3" customWidth="1"/>
    <col min="13774" max="13775" width="14.7109375" style="3" customWidth="1"/>
    <col min="13776" max="13776" width="16.7109375" style="3" customWidth="1"/>
    <col min="13777" max="13778" width="14.7109375" style="3" customWidth="1"/>
    <col min="13779" max="13779" width="17.7109375" style="3" customWidth="1"/>
    <col min="13780" max="13781" width="14.7109375" style="3" customWidth="1"/>
    <col min="13782" max="13782" width="16.7109375" style="3" customWidth="1"/>
    <col min="13783" max="13787" width="14.7109375" style="3" customWidth="1"/>
    <col min="13788" max="13788" width="16.5703125" style="3" customWidth="1"/>
    <col min="13789" max="13789" width="14.28515625" style="3" customWidth="1"/>
    <col min="13790" max="13790" width="15" style="3" customWidth="1"/>
    <col min="13791" max="13791" width="16.5703125" style="3" customWidth="1"/>
    <col min="13792" max="13793" width="14.7109375" style="3" customWidth="1"/>
    <col min="13794" max="13794" width="16.7109375" style="3" customWidth="1"/>
    <col min="13795" max="13796" width="14.7109375" style="3" customWidth="1"/>
    <col min="13797" max="13797" width="16.5703125" style="3" customWidth="1"/>
    <col min="13798" max="13798" width="18.140625" style="3" customWidth="1"/>
    <col min="13799" max="14008" width="9" style="3"/>
    <col min="14009" max="14009" width="3.140625" style="3" customWidth="1"/>
    <col min="14010" max="14010" width="13.42578125" style="3" customWidth="1"/>
    <col min="14011" max="14011" width="26.28515625" style="3" customWidth="1"/>
    <col min="14012" max="14013" width="17.7109375" style="3" customWidth="1"/>
    <col min="14014" max="14014" width="20.7109375" style="3" customWidth="1"/>
    <col min="14015" max="14016" width="14.7109375" style="3" customWidth="1"/>
    <col min="14017" max="14017" width="16.42578125" style="3" customWidth="1"/>
    <col min="14018" max="14019" width="14.7109375" style="3" customWidth="1"/>
    <col min="14020" max="14020" width="16.7109375" style="3" customWidth="1"/>
    <col min="14021" max="14022" width="14.7109375" style="3" customWidth="1"/>
    <col min="14023" max="14023" width="16.7109375" style="3" customWidth="1"/>
    <col min="14024" max="14025" width="14.7109375" style="3" customWidth="1"/>
    <col min="14026" max="14026" width="16.140625" style="3" customWidth="1"/>
    <col min="14027" max="14028" width="14.7109375" style="3" customWidth="1"/>
    <col min="14029" max="14029" width="15.7109375" style="3" customWidth="1"/>
    <col min="14030" max="14031" width="14.7109375" style="3" customWidth="1"/>
    <col min="14032" max="14032" width="16.7109375" style="3" customWidth="1"/>
    <col min="14033" max="14034" width="14.7109375" style="3" customWidth="1"/>
    <col min="14035" max="14035" width="17.7109375" style="3" customWidth="1"/>
    <col min="14036" max="14037" width="14.7109375" style="3" customWidth="1"/>
    <col min="14038" max="14038" width="16.7109375" style="3" customWidth="1"/>
    <col min="14039" max="14043" width="14.7109375" style="3" customWidth="1"/>
    <col min="14044" max="14044" width="16.5703125" style="3" customWidth="1"/>
    <col min="14045" max="14045" width="14.28515625" style="3" customWidth="1"/>
    <col min="14046" max="14046" width="15" style="3" customWidth="1"/>
    <col min="14047" max="14047" width="16.5703125" style="3" customWidth="1"/>
    <col min="14048" max="14049" width="14.7109375" style="3" customWidth="1"/>
    <col min="14050" max="14050" width="16.7109375" style="3" customWidth="1"/>
    <col min="14051" max="14052" width="14.7109375" style="3" customWidth="1"/>
    <col min="14053" max="14053" width="16.5703125" style="3" customWidth="1"/>
    <col min="14054" max="14054" width="18.140625" style="3" customWidth="1"/>
    <col min="14055" max="14264" width="9" style="3"/>
    <col min="14265" max="14265" width="3.140625" style="3" customWidth="1"/>
    <col min="14266" max="14266" width="13.42578125" style="3" customWidth="1"/>
    <col min="14267" max="14267" width="26.28515625" style="3" customWidth="1"/>
    <col min="14268" max="14269" width="17.7109375" style="3" customWidth="1"/>
    <col min="14270" max="14270" width="20.7109375" style="3" customWidth="1"/>
    <col min="14271" max="14272" width="14.7109375" style="3" customWidth="1"/>
    <col min="14273" max="14273" width="16.42578125" style="3" customWidth="1"/>
    <col min="14274" max="14275" width="14.7109375" style="3" customWidth="1"/>
    <col min="14276" max="14276" width="16.7109375" style="3" customWidth="1"/>
    <col min="14277" max="14278" width="14.7109375" style="3" customWidth="1"/>
    <col min="14279" max="14279" width="16.7109375" style="3" customWidth="1"/>
    <col min="14280" max="14281" width="14.7109375" style="3" customWidth="1"/>
    <col min="14282" max="14282" width="16.140625" style="3" customWidth="1"/>
    <col min="14283" max="14284" width="14.7109375" style="3" customWidth="1"/>
    <col min="14285" max="14285" width="15.7109375" style="3" customWidth="1"/>
    <col min="14286" max="14287" width="14.7109375" style="3" customWidth="1"/>
    <col min="14288" max="14288" width="16.7109375" style="3" customWidth="1"/>
    <col min="14289" max="14290" width="14.7109375" style="3" customWidth="1"/>
    <col min="14291" max="14291" width="17.7109375" style="3" customWidth="1"/>
    <col min="14292" max="14293" width="14.7109375" style="3" customWidth="1"/>
    <col min="14294" max="14294" width="16.7109375" style="3" customWidth="1"/>
    <col min="14295" max="14299" width="14.7109375" style="3" customWidth="1"/>
    <col min="14300" max="14300" width="16.5703125" style="3" customWidth="1"/>
    <col min="14301" max="14301" width="14.28515625" style="3" customWidth="1"/>
    <col min="14302" max="14302" width="15" style="3" customWidth="1"/>
    <col min="14303" max="14303" width="16.5703125" style="3" customWidth="1"/>
    <col min="14304" max="14305" width="14.7109375" style="3" customWidth="1"/>
    <col min="14306" max="14306" width="16.7109375" style="3" customWidth="1"/>
    <col min="14307" max="14308" width="14.7109375" style="3" customWidth="1"/>
    <col min="14309" max="14309" width="16.5703125" style="3" customWidth="1"/>
    <col min="14310" max="14310" width="18.140625" style="3" customWidth="1"/>
    <col min="14311" max="14520" width="9" style="3"/>
    <col min="14521" max="14521" width="3.140625" style="3" customWidth="1"/>
    <col min="14522" max="14522" width="13.42578125" style="3" customWidth="1"/>
    <col min="14523" max="14523" width="26.28515625" style="3" customWidth="1"/>
    <col min="14524" max="14525" width="17.7109375" style="3" customWidth="1"/>
    <col min="14526" max="14526" width="20.7109375" style="3" customWidth="1"/>
    <col min="14527" max="14528" width="14.7109375" style="3" customWidth="1"/>
    <col min="14529" max="14529" width="16.42578125" style="3" customWidth="1"/>
    <col min="14530" max="14531" width="14.7109375" style="3" customWidth="1"/>
    <col min="14532" max="14532" width="16.7109375" style="3" customWidth="1"/>
    <col min="14533" max="14534" width="14.7109375" style="3" customWidth="1"/>
    <col min="14535" max="14535" width="16.7109375" style="3" customWidth="1"/>
    <col min="14536" max="14537" width="14.7109375" style="3" customWidth="1"/>
    <col min="14538" max="14538" width="16.140625" style="3" customWidth="1"/>
    <col min="14539" max="14540" width="14.7109375" style="3" customWidth="1"/>
    <col min="14541" max="14541" width="15.7109375" style="3" customWidth="1"/>
    <col min="14542" max="14543" width="14.7109375" style="3" customWidth="1"/>
    <col min="14544" max="14544" width="16.7109375" style="3" customWidth="1"/>
    <col min="14545" max="14546" width="14.7109375" style="3" customWidth="1"/>
    <col min="14547" max="14547" width="17.7109375" style="3" customWidth="1"/>
    <col min="14548" max="14549" width="14.7109375" style="3" customWidth="1"/>
    <col min="14550" max="14550" width="16.7109375" style="3" customWidth="1"/>
    <col min="14551" max="14555" width="14.7109375" style="3" customWidth="1"/>
    <col min="14556" max="14556" width="16.5703125" style="3" customWidth="1"/>
    <col min="14557" max="14557" width="14.28515625" style="3" customWidth="1"/>
    <col min="14558" max="14558" width="15" style="3" customWidth="1"/>
    <col min="14559" max="14559" width="16.5703125" style="3" customWidth="1"/>
    <col min="14560" max="14561" width="14.7109375" style="3" customWidth="1"/>
    <col min="14562" max="14562" width="16.7109375" style="3" customWidth="1"/>
    <col min="14563" max="14564" width="14.7109375" style="3" customWidth="1"/>
    <col min="14565" max="14565" width="16.5703125" style="3" customWidth="1"/>
    <col min="14566" max="14566" width="18.140625" style="3" customWidth="1"/>
    <col min="14567" max="14776" width="9" style="3"/>
    <col min="14777" max="14777" width="3.140625" style="3" customWidth="1"/>
    <col min="14778" max="14778" width="13.42578125" style="3" customWidth="1"/>
    <col min="14779" max="14779" width="26.28515625" style="3" customWidth="1"/>
    <col min="14780" max="14781" width="17.7109375" style="3" customWidth="1"/>
    <col min="14782" max="14782" width="20.7109375" style="3" customWidth="1"/>
    <col min="14783" max="14784" width="14.7109375" style="3" customWidth="1"/>
    <col min="14785" max="14785" width="16.42578125" style="3" customWidth="1"/>
    <col min="14786" max="14787" width="14.7109375" style="3" customWidth="1"/>
    <col min="14788" max="14788" width="16.7109375" style="3" customWidth="1"/>
    <col min="14789" max="14790" width="14.7109375" style="3" customWidth="1"/>
    <col min="14791" max="14791" width="16.7109375" style="3" customWidth="1"/>
    <col min="14792" max="14793" width="14.7109375" style="3" customWidth="1"/>
    <col min="14794" max="14794" width="16.140625" style="3" customWidth="1"/>
    <col min="14795" max="14796" width="14.7109375" style="3" customWidth="1"/>
    <col min="14797" max="14797" width="15.7109375" style="3" customWidth="1"/>
    <col min="14798" max="14799" width="14.7109375" style="3" customWidth="1"/>
    <col min="14800" max="14800" width="16.7109375" style="3" customWidth="1"/>
    <col min="14801" max="14802" width="14.7109375" style="3" customWidth="1"/>
    <col min="14803" max="14803" width="17.7109375" style="3" customWidth="1"/>
    <col min="14804" max="14805" width="14.7109375" style="3" customWidth="1"/>
    <col min="14806" max="14806" width="16.7109375" style="3" customWidth="1"/>
    <col min="14807" max="14811" width="14.7109375" style="3" customWidth="1"/>
    <col min="14812" max="14812" width="16.5703125" style="3" customWidth="1"/>
    <col min="14813" max="14813" width="14.28515625" style="3" customWidth="1"/>
    <col min="14814" max="14814" width="15" style="3" customWidth="1"/>
    <col min="14815" max="14815" width="16.5703125" style="3" customWidth="1"/>
    <col min="14816" max="14817" width="14.7109375" style="3" customWidth="1"/>
    <col min="14818" max="14818" width="16.7109375" style="3" customWidth="1"/>
    <col min="14819" max="14820" width="14.7109375" style="3" customWidth="1"/>
    <col min="14821" max="14821" width="16.5703125" style="3" customWidth="1"/>
    <col min="14822" max="14822" width="18.140625" style="3" customWidth="1"/>
    <col min="14823" max="15032" width="9" style="3"/>
    <col min="15033" max="15033" width="3.140625" style="3" customWidth="1"/>
    <col min="15034" max="15034" width="13.42578125" style="3" customWidth="1"/>
    <col min="15035" max="15035" width="26.28515625" style="3" customWidth="1"/>
    <col min="15036" max="15037" width="17.7109375" style="3" customWidth="1"/>
    <col min="15038" max="15038" width="20.7109375" style="3" customWidth="1"/>
    <col min="15039" max="15040" width="14.7109375" style="3" customWidth="1"/>
    <col min="15041" max="15041" width="16.42578125" style="3" customWidth="1"/>
    <col min="15042" max="15043" width="14.7109375" style="3" customWidth="1"/>
    <col min="15044" max="15044" width="16.7109375" style="3" customWidth="1"/>
    <col min="15045" max="15046" width="14.7109375" style="3" customWidth="1"/>
    <col min="15047" max="15047" width="16.7109375" style="3" customWidth="1"/>
    <col min="15048" max="15049" width="14.7109375" style="3" customWidth="1"/>
    <col min="15050" max="15050" width="16.140625" style="3" customWidth="1"/>
    <col min="15051" max="15052" width="14.7109375" style="3" customWidth="1"/>
    <col min="15053" max="15053" width="15.7109375" style="3" customWidth="1"/>
    <col min="15054" max="15055" width="14.7109375" style="3" customWidth="1"/>
    <col min="15056" max="15056" width="16.7109375" style="3" customWidth="1"/>
    <col min="15057" max="15058" width="14.7109375" style="3" customWidth="1"/>
    <col min="15059" max="15059" width="17.7109375" style="3" customWidth="1"/>
    <col min="15060" max="15061" width="14.7109375" style="3" customWidth="1"/>
    <col min="15062" max="15062" width="16.7109375" style="3" customWidth="1"/>
    <col min="15063" max="15067" width="14.7109375" style="3" customWidth="1"/>
    <col min="15068" max="15068" width="16.5703125" style="3" customWidth="1"/>
    <col min="15069" max="15069" width="14.28515625" style="3" customWidth="1"/>
    <col min="15070" max="15070" width="15" style="3" customWidth="1"/>
    <col min="15071" max="15071" width="16.5703125" style="3" customWidth="1"/>
    <col min="15072" max="15073" width="14.7109375" style="3" customWidth="1"/>
    <col min="15074" max="15074" width="16.7109375" style="3" customWidth="1"/>
    <col min="15075" max="15076" width="14.7109375" style="3" customWidth="1"/>
    <col min="15077" max="15077" width="16.5703125" style="3" customWidth="1"/>
    <col min="15078" max="15078" width="18.140625" style="3" customWidth="1"/>
    <col min="15079" max="15288" width="9" style="3"/>
    <col min="15289" max="15289" width="3.140625" style="3" customWidth="1"/>
    <col min="15290" max="15290" width="13.42578125" style="3" customWidth="1"/>
    <col min="15291" max="15291" width="26.28515625" style="3" customWidth="1"/>
    <col min="15292" max="15293" width="17.7109375" style="3" customWidth="1"/>
    <col min="15294" max="15294" width="20.7109375" style="3" customWidth="1"/>
    <col min="15295" max="15296" width="14.7109375" style="3" customWidth="1"/>
    <col min="15297" max="15297" width="16.42578125" style="3" customWidth="1"/>
    <col min="15298" max="15299" width="14.7109375" style="3" customWidth="1"/>
    <col min="15300" max="15300" width="16.7109375" style="3" customWidth="1"/>
    <col min="15301" max="15302" width="14.7109375" style="3" customWidth="1"/>
    <col min="15303" max="15303" width="16.7109375" style="3" customWidth="1"/>
    <col min="15304" max="15305" width="14.7109375" style="3" customWidth="1"/>
    <col min="15306" max="15306" width="16.140625" style="3" customWidth="1"/>
    <col min="15307" max="15308" width="14.7109375" style="3" customWidth="1"/>
    <col min="15309" max="15309" width="15.7109375" style="3" customWidth="1"/>
    <col min="15310" max="15311" width="14.7109375" style="3" customWidth="1"/>
    <col min="15312" max="15312" width="16.7109375" style="3" customWidth="1"/>
    <col min="15313" max="15314" width="14.7109375" style="3" customWidth="1"/>
    <col min="15315" max="15315" width="17.7109375" style="3" customWidth="1"/>
    <col min="15316" max="15317" width="14.7109375" style="3" customWidth="1"/>
    <col min="15318" max="15318" width="16.7109375" style="3" customWidth="1"/>
    <col min="15319" max="15323" width="14.7109375" style="3" customWidth="1"/>
    <col min="15324" max="15324" width="16.5703125" style="3" customWidth="1"/>
    <col min="15325" max="15325" width="14.28515625" style="3" customWidth="1"/>
    <col min="15326" max="15326" width="15" style="3" customWidth="1"/>
    <col min="15327" max="15327" width="16.5703125" style="3" customWidth="1"/>
    <col min="15328" max="15329" width="14.7109375" style="3" customWidth="1"/>
    <col min="15330" max="15330" width="16.7109375" style="3" customWidth="1"/>
    <col min="15331" max="15332" width="14.7109375" style="3" customWidth="1"/>
    <col min="15333" max="15333" width="16.5703125" style="3" customWidth="1"/>
    <col min="15334" max="15334" width="18.140625" style="3" customWidth="1"/>
    <col min="15335" max="15544" width="9" style="3"/>
    <col min="15545" max="15545" width="3.140625" style="3" customWidth="1"/>
    <col min="15546" max="15546" width="13.42578125" style="3" customWidth="1"/>
    <col min="15547" max="15547" width="26.28515625" style="3" customWidth="1"/>
    <col min="15548" max="15549" width="17.7109375" style="3" customWidth="1"/>
    <col min="15550" max="15550" width="20.7109375" style="3" customWidth="1"/>
    <col min="15551" max="15552" width="14.7109375" style="3" customWidth="1"/>
    <col min="15553" max="15553" width="16.42578125" style="3" customWidth="1"/>
    <col min="15554" max="15555" width="14.7109375" style="3" customWidth="1"/>
    <col min="15556" max="15556" width="16.7109375" style="3" customWidth="1"/>
    <col min="15557" max="15558" width="14.7109375" style="3" customWidth="1"/>
    <col min="15559" max="15559" width="16.7109375" style="3" customWidth="1"/>
    <col min="15560" max="15561" width="14.7109375" style="3" customWidth="1"/>
    <col min="15562" max="15562" width="16.140625" style="3" customWidth="1"/>
    <col min="15563" max="15564" width="14.7109375" style="3" customWidth="1"/>
    <col min="15565" max="15565" width="15.7109375" style="3" customWidth="1"/>
    <col min="15566" max="15567" width="14.7109375" style="3" customWidth="1"/>
    <col min="15568" max="15568" width="16.7109375" style="3" customWidth="1"/>
    <col min="15569" max="15570" width="14.7109375" style="3" customWidth="1"/>
    <col min="15571" max="15571" width="17.7109375" style="3" customWidth="1"/>
    <col min="15572" max="15573" width="14.7109375" style="3" customWidth="1"/>
    <col min="15574" max="15574" width="16.7109375" style="3" customWidth="1"/>
    <col min="15575" max="15579" width="14.7109375" style="3" customWidth="1"/>
    <col min="15580" max="15580" width="16.5703125" style="3" customWidth="1"/>
    <col min="15581" max="15581" width="14.28515625" style="3" customWidth="1"/>
    <col min="15582" max="15582" width="15" style="3" customWidth="1"/>
    <col min="15583" max="15583" width="16.5703125" style="3" customWidth="1"/>
    <col min="15584" max="15585" width="14.7109375" style="3" customWidth="1"/>
    <col min="15586" max="15586" width="16.7109375" style="3" customWidth="1"/>
    <col min="15587" max="15588" width="14.7109375" style="3" customWidth="1"/>
    <col min="15589" max="15589" width="16.5703125" style="3" customWidth="1"/>
    <col min="15590" max="15590" width="18.140625" style="3" customWidth="1"/>
    <col min="15591" max="15800" width="9" style="3"/>
    <col min="15801" max="15801" width="3.140625" style="3" customWidth="1"/>
    <col min="15802" max="15802" width="13.42578125" style="3" customWidth="1"/>
    <col min="15803" max="15803" width="26.28515625" style="3" customWidth="1"/>
    <col min="15804" max="15805" width="17.7109375" style="3" customWidth="1"/>
    <col min="15806" max="15806" width="20.7109375" style="3" customWidth="1"/>
    <col min="15807" max="15808" width="14.7109375" style="3" customWidth="1"/>
    <col min="15809" max="15809" width="16.42578125" style="3" customWidth="1"/>
    <col min="15810" max="15811" width="14.7109375" style="3" customWidth="1"/>
    <col min="15812" max="15812" width="16.7109375" style="3" customWidth="1"/>
    <col min="15813" max="15814" width="14.7109375" style="3" customWidth="1"/>
    <col min="15815" max="15815" width="16.7109375" style="3" customWidth="1"/>
    <col min="15816" max="15817" width="14.7109375" style="3" customWidth="1"/>
    <col min="15818" max="15818" width="16.140625" style="3" customWidth="1"/>
    <col min="15819" max="15820" width="14.7109375" style="3" customWidth="1"/>
    <col min="15821" max="15821" width="15.7109375" style="3" customWidth="1"/>
    <col min="15822" max="15823" width="14.7109375" style="3" customWidth="1"/>
    <col min="15824" max="15824" width="16.7109375" style="3" customWidth="1"/>
    <col min="15825" max="15826" width="14.7109375" style="3" customWidth="1"/>
    <col min="15827" max="15827" width="17.7109375" style="3" customWidth="1"/>
    <col min="15828" max="15829" width="14.7109375" style="3" customWidth="1"/>
    <col min="15830" max="15830" width="16.7109375" style="3" customWidth="1"/>
    <col min="15831" max="15835" width="14.7109375" style="3" customWidth="1"/>
    <col min="15836" max="15836" width="16.5703125" style="3" customWidth="1"/>
    <col min="15837" max="15837" width="14.28515625" style="3" customWidth="1"/>
    <col min="15838" max="15838" width="15" style="3" customWidth="1"/>
    <col min="15839" max="15839" width="16.5703125" style="3" customWidth="1"/>
    <col min="15840" max="15841" width="14.7109375" style="3" customWidth="1"/>
    <col min="15842" max="15842" width="16.7109375" style="3" customWidth="1"/>
    <col min="15843" max="15844" width="14.7109375" style="3" customWidth="1"/>
    <col min="15845" max="15845" width="16.5703125" style="3" customWidth="1"/>
    <col min="15846" max="15846" width="18.140625" style="3" customWidth="1"/>
    <col min="15847" max="16056" width="9" style="3"/>
    <col min="16057" max="16057" width="3.140625" style="3" customWidth="1"/>
    <col min="16058" max="16058" width="13.42578125" style="3" customWidth="1"/>
    <col min="16059" max="16059" width="26.28515625" style="3" customWidth="1"/>
    <col min="16060" max="16061" width="17.7109375" style="3" customWidth="1"/>
    <col min="16062" max="16062" width="20.7109375" style="3" customWidth="1"/>
    <col min="16063" max="16064" width="14.7109375" style="3" customWidth="1"/>
    <col min="16065" max="16065" width="16.42578125" style="3" customWidth="1"/>
    <col min="16066" max="16067" width="14.7109375" style="3" customWidth="1"/>
    <col min="16068" max="16068" width="16.7109375" style="3" customWidth="1"/>
    <col min="16069" max="16070" width="14.7109375" style="3" customWidth="1"/>
    <col min="16071" max="16071" width="16.7109375" style="3" customWidth="1"/>
    <col min="16072" max="16073" width="14.7109375" style="3" customWidth="1"/>
    <col min="16074" max="16074" width="16.140625" style="3" customWidth="1"/>
    <col min="16075" max="16076" width="14.7109375" style="3" customWidth="1"/>
    <col min="16077" max="16077" width="15.7109375" style="3" customWidth="1"/>
    <col min="16078" max="16079" width="14.7109375" style="3" customWidth="1"/>
    <col min="16080" max="16080" width="16.7109375" style="3" customWidth="1"/>
    <col min="16081" max="16082" width="14.7109375" style="3" customWidth="1"/>
    <col min="16083" max="16083" width="17.7109375" style="3" customWidth="1"/>
    <col min="16084" max="16085" width="14.7109375" style="3" customWidth="1"/>
    <col min="16086" max="16086" width="16.7109375" style="3" customWidth="1"/>
    <col min="16087" max="16091" width="14.7109375" style="3" customWidth="1"/>
    <col min="16092" max="16092" width="16.5703125" style="3" customWidth="1"/>
    <col min="16093" max="16093" width="14.28515625" style="3" customWidth="1"/>
    <col min="16094" max="16094" width="15" style="3" customWidth="1"/>
    <col min="16095" max="16095" width="16.5703125" style="3" customWidth="1"/>
    <col min="16096" max="16097" width="14.7109375" style="3" customWidth="1"/>
    <col min="16098" max="16098" width="16.7109375" style="3" customWidth="1"/>
    <col min="16099" max="16100" width="14.7109375" style="3" customWidth="1"/>
    <col min="16101" max="16101" width="16.5703125" style="3" customWidth="1"/>
    <col min="16102" max="16102" width="18.140625" style="3" customWidth="1"/>
    <col min="16103" max="16297" width="9" style="3"/>
    <col min="16298" max="16384" width="9" style="3" customWidth="1"/>
  </cols>
  <sheetData>
    <row r="1" spans="2:62" ht="29.25" customHeight="1" thickBot="1" x14ac:dyDescent="0.3">
      <c r="B1" s="142" t="s">
        <v>17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5"/>
      <c r="AO1" s="4"/>
      <c r="AP1" s="134"/>
      <c r="AQ1" s="135"/>
      <c r="AR1" s="4"/>
      <c r="AS1" s="4"/>
      <c r="AT1" s="4"/>
      <c r="AU1" s="4"/>
      <c r="AV1" s="4"/>
      <c r="AW1" s="5"/>
      <c r="AX1" s="5"/>
      <c r="AY1" s="4"/>
      <c r="AZ1" s="115"/>
      <c r="BA1" s="142" t="s">
        <v>15</v>
      </c>
      <c r="BB1" s="142"/>
      <c r="BC1" s="142"/>
      <c r="BD1" s="142"/>
      <c r="BE1" s="142"/>
    </row>
    <row r="2" spans="2:62" s="1" customFormat="1" ht="32.25" customHeight="1" thickBot="1" x14ac:dyDescent="0.3">
      <c r="B2" s="141" t="s">
        <v>0</v>
      </c>
      <c r="C2" s="141" t="s">
        <v>16</v>
      </c>
      <c r="D2" s="141" t="s">
        <v>18</v>
      </c>
      <c r="E2" s="141" t="s">
        <v>41</v>
      </c>
      <c r="F2" s="144" t="s">
        <v>22</v>
      </c>
      <c r="G2" s="144"/>
      <c r="H2" s="144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 t="s">
        <v>1</v>
      </c>
      <c r="BF2" s="100"/>
      <c r="BG2" s="101"/>
      <c r="BH2" s="107"/>
      <c r="BI2" s="107"/>
      <c r="BJ2" s="107"/>
    </row>
    <row r="3" spans="2:62" s="1" customFormat="1" ht="40.5" customHeight="1" thickBot="1" x14ac:dyDescent="0.3">
      <c r="B3" s="141"/>
      <c r="C3" s="141"/>
      <c r="D3" s="141"/>
      <c r="E3" s="147"/>
      <c r="F3" s="145" t="s">
        <v>21</v>
      </c>
      <c r="G3" s="136" t="s">
        <v>19</v>
      </c>
      <c r="H3" s="136" t="s">
        <v>20</v>
      </c>
      <c r="I3" s="143" t="s">
        <v>72</v>
      </c>
      <c r="J3" s="143"/>
      <c r="K3" s="140"/>
      <c r="L3" s="138" t="s">
        <v>3</v>
      </c>
      <c r="M3" s="139"/>
      <c r="N3" s="140"/>
      <c r="O3" s="138" t="s">
        <v>4</v>
      </c>
      <c r="P3" s="139"/>
      <c r="Q3" s="140"/>
      <c r="R3" s="138" t="s">
        <v>5</v>
      </c>
      <c r="S3" s="139"/>
      <c r="T3" s="140"/>
      <c r="U3" s="143" t="s">
        <v>73</v>
      </c>
      <c r="V3" s="143"/>
      <c r="W3" s="140"/>
      <c r="X3" s="138" t="s">
        <v>6</v>
      </c>
      <c r="Y3" s="139"/>
      <c r="Z3" s="140"/>
      <c r="AA3" s="138" t="s">
        <v>7</v>
      </c>
      <c r="AB3" s="139"/>
      <c r="AC3" s="140"/>
      <c r="AD3" s="138" t="s">
        <v>8</v>
      </c>
      <c r="AE3" s="139"/>
      <c r="AF3" s="140"/>
      <c r="AG3" s="143" t="s">
        <v>74</v>
      </c>
      <c r="AH3" s="143"/>
      <c r="AI3" s="140"/>
      <c r="AJ3" s="138" t="s">
        <v>9</v>
      </c>
      <c r="AK3" s="139"/>
      <c r="AL3" s="140"/>
      <c r="AM3" s="138" t="s">
        <v>10</v>
      </c>
      <c r="AN3" s="139"/>
      <c r="AO3" s="140"/>
      <c r="AP3" s="138" t="s">
        <v>11</v>
      </c>
      <c r="AQ3" s="139"/>
      <c r="AR3" s="140"/>
      <c r="AS3" s="143" t="s">
        <v>75</v>
      </c>
      <c r="AT3" s="143"/>
      <c r="AU3" s="140"/>
      <c r="AV3" s="138" t="s">
        <v>12</v>
      </c>
      <c r="AW3" s="139"/>
      <c r="AX3" s="140"/>
      <c r="AY3" s="138" t="s">
        <v>13</v>
      </c>
      <c r="AZ3" s="139"/>
      <c r="BA3" s="140"/>
      <c r="BB3" s="138" t="s">
        <v>14</v>
      </c>
      <c r="BC3" s="139"/>
      <c r="BD3" s="140"/>
      <c r="BE3" s="141"/>
      <c r="BF3" s="100"/>
      <c r="BG3" s="101"/>
      <c r="BH3" s="107"/>
      <c r="BI3" s="107"/>
      <c r="BJ3" s="107"/>
    </row>
    <row r="4" spans="2:62" s="1" customFormat="1" ht="24" customHeight="1" thickBot="1" x14ac:dyDescent="0.3">
      <c r="B4" s="141"/>
      <c r="C4" s="141"/>
      <c r="D4" s="141"/>
      <c r="E4" s="147"/>
      <c r="F4" s="146"/>
      <c r="G4" s="137"/>
      <c r="H4" s="137"/>
      <c r="I4" s="73" t="s">
        <v>21</v>
      </c>
      <c r="J4" s="73" t="s">
        <v>19</v>
      </c>
      <c r="K4" s="74" t="s">
        <v>20</v>
      </c>
      <c r="L4" s="72" t="s">
        <v>2</v>
      </c>
      <c r="M4" s="73" t="s">
        <v>19</v>
      </c>
      <c r="N4" s="74" t="s">
        <v>20</v>
      </c>
      <c r="O4" s="72" t="s">
        <v>2</v>
      </c>
      <c r="P4" s="73" t="s">
        <v>19</v>
      </c>
      <c r="Q4" s="74" t="s">
        <v>20</v>
      </c>
      <c r="R4" s="72" t="s">
        <v>2</v>
      </c>
      <c r="S4" s="73" t="s">
        <v>19</v>
      </c>
      <c r="T4" s="74" t="s">
        <v>20</v>
      </c>
      <c r="U4" s="73" t="s">
        <v>21</v>
      </c>
      <c r="V4" s="73" t="s">
        <v>19</v>
      </c>
      <c r="W4" s="74" t="s">
        <v>20</v>
      </c>
      <c r="X4" s="72" t="s">
        <v>2</v>
      </c>
      <c r="Y4" s="73" t="s">
        <v>19</v>
      </c>
      <c r="Z4" s="74" t="s">
        <v>20</v>
      </c>
      <c r="AA4" s="72" t="s">
        <v>2</v>
      </c>
      <c r="AB4" s="73" t="s">
        <v>19</v>
      </c>
      <c r="AC4" s="74" t="s">
        <v>20</v>
      </c>
      <c r="AD4" s="72" t="s">
        <v>2</v>
      </c>
      <c r="AE4" s="73" t="s">
        <v>19</v>
      </c>
      <c r="AF4" s="74" t="s">
        <v>20</v>
      </c>
      <c r="AG4" s="73" t="s">
        <v>21</v>
      </c>
      <c r="AH4" s="73" t="s">
        <v>19</v>
      </c>
      <c r="AI4" s="74" t="s">
        <v>20</v>
      </c>
      <c r="AJ4" s="72" t="s">
        <v>2</v>
      </c>
      <c r="AK4" s="73" t="s">
        <v>19</v>
      </c>
      <c r="AL4" s="74" t="s">
        <v>20</v>
      </c>
      <c r="AM4" s="72" t="s">
        <v>2</v>
      </c>
      <c r="AN4" s="73" t="s">
        <v>19</v>
      </c>
      <c r="AO4" s="74" t="s">
        <v>20</v>
      </c>
      <c r="AP4" s="72" t="s">
        <v>2</v>
      </c>
      <c r="AQ4" s="73" t="s">
        <v>19</v>
      </c>
      <c r="AR4" s="74" t="s">
        <v>20</v>
      </c>
      <c r="AS4" s="73" t="s">
        <v>21</v>
      </c>
      <c r="AT4" s="73" t="s">
        <v>19</v>
      </c>
      <c r="AU4" s="74" t="s">
        <v>20</v>
      </c>
      <c r="AV4" s="72" t="s">
        <v>2</v>
      </c>
      <c r="AW4" s="73" t="s">
        <v>19</v>
      </c>
      <c r="AX4" s="74" t="s">
        <v>20</v>
      </c>
      <c r="AY4" s="72" t="s">
        <v>2</v>
      </c>
      <c r="AZ4" s="73" t="s">
        <v>19</v>
      </c>
      <c r="BA4" s="74" t="s">
        <v>20</v>
      </c>
      <c r="BB4" s="72" t="s">
        <v>2</v>
      </c>
      <c r="BC4" s="73" t="s">
        <v>19</v>
      </c>
      <c r="BD4" s="74" t="s">
        <v>20</v>
      </c>
      <c r="BE4" s="141"/>
      <c r="BF4" s="100"/>
      <c r="BG4" s="101"/>
      <c r="BH4" s="107"/>
      <c r="BI4" s="107"/>
      <c r="BJ4" s="107"/>
    </row>
    <row r="5" spans="2:62" ht="60.75" customHeight="1" thickBot="1" x14ac:dyDescent="0.3">
      <c r="B5" s="6" t="s">
        <v>62</v>
      </c>
      <c r="C5" s="6" t="s">
        <v>110</v>
      </c>
      <c r="D5" s="7">
        <f>D6+D16+D19+D24+D30+D33+D34</f>
        <v>1800000</v>
      </c>
      <c r="E5" s="49">
        <f>E6+E16+E19+E24+E30+E33+E34+E35</f>
        <v>1888000</v>
      </c>
      <c r="F5" s="60">
        <f>L5+O5+R5+X5+AA5+AD5+AJ5+AM5+AP5+AV5+AY5+BB5</f>
        <v>1864746.2000000002</v>
      </c>
      <c r="G5" s="48">
        <f t="shared" ref="G5:H6" si="0">M5+P5+S5+Y5+AB5+AE5+AK5+AN5+AQ5+AW5+AZ5+BC5</f>
        <v>0</v>
      </c>
      <c r="H5" s="48">
        <f t="shared" si="0"/>
        <v>69420</v>
      </c>
      <c r="I5" s="76">
        <f>L5+O5+R5</f>
        <v>257006</v>
      </c>
      <c r="J5" s="76">
        <f>M5+P5+S5</f>
        <v>0</v>
      </c>
      <c r="K5" s="77">
        <f>N5+Q5+T5</f>
        <v>11730</v>
      </c>
      <c r="L5" s="75">
        <f>L6+L16+L19+L24+L30+L33+L34</f>
        <v>3000</v>
      </c>
      <c r="M5" s="76">
        <v>0</v>
      </c>
      <c r="N5" s="77">
        <v>0</v>
      </c>
      <c r="O5" s="75">
        <f>O6+O16+O19+O24+O30+O33+O34</f>
        <v>209609.8</v>
      </c>
      <c r="P5" s="76">
        <v>0</v>
      </c>
      <c r="Q5" s="77">
        <v>10664</v>
      </c>
      <c r="R5" s="75">
        <f>R6+R16+R19+R24+R30+R33+R34</f>
        <v>44396.2</v>
      </c>
      <c r="S5" s="76">
        <v>0</v>
      </c>
      <c r="T5" s="77">
        <v>1066</v>
      </c>
      <c r="U5" s="76">
        <f>X5+AA5+AD5</f>
        <v>451780</v>
      </c>
      <c r="V5" s="76">
        <f t="shared" ref="V5:AH5" si="1">V6+V16+V19+V24+V30</f>
        <v>0</v>
      </c>
      <c r="W5" s="77">
        <f>Z5+AC5+AF5</f>
        <v>25413</v>
      </c>
      <c r="X5" s="75">
        <f>X6+X16+X19+X24+X30+X33</f>
        <v>96516.22</v>
      </c>
      <c r="Y5" s="76">
        <f t="shared" ref="Y5:AF5" si="2">Y6+Y16+Y19+Y24+Y30+Y33</f>
        <v>0</v>
      </c>
      <c r="Z5" s="77">
        <f t="shared" si="2"/>
        <v>5637</v>
      </c>
      <c r="AA5" s="75">
        <f t="shared" si="2"/>
        <v>124112.56</v>
      </c>
      <c r="AB5" s="76">
        <f t="shared" si="2"/>
        <v>0</v>
      </c>
      <c r="AC5" s="77">
        <f t="shared" si="2"/>
        <v>6554</v>
      </c>
      <c r="AD5" s="75">
        <f t="shared" si="2"/>
        <v>231151.22000000003</v>
      </c>
      <c r="AE5" s="76">
        <f t="shared" si="2"/>
        <v>0</v>
      </c>
      <c r="AF5" s="77">
        <f t="shared" si="2"/>
        <v>13222</v>
      </c>
      <c r="AG5" s="76">
        <f>AJ5+AM5+AP5</f>
        <v>316308.65999999997</v>
      </c>
      <c r="AH5" s="76">
        <f t="shared" si="1"/>
        <v>0</v>
      </c>
      <c r="AI5" s="77">
        <f>AL5+AO5+AR5</f>
        <v>12359</v>
      </c>
      <c r="AJ5" s="75">
        <f>SUM(AJ6+AJ16+AJ19+AJ24)+AJ30+AJ33</f>
        <v>96565.39</v>
      </c>
      <c r="AK5" s="76">
        <f t="shared" ref="AK5:AR5" si="3">SUM(AK6+AK16+AK19+AK24)+AK30+AK33</f>
        <v>0</v>
      </c>
      <c r="AL5" s="77">
        <f t="shared" si="3"/>
        <v>1472</v>
      </c>
      <c r="AM5" s="75">
        <f t="shared" si="3"/>
        <v>67276.73000000001</v>
      </c>
      <c r="AN5" s="76">
        <f t="shared" si="3"/>
        <v>0</v>
      </c>
      <c r="AO5" s="77">
        <f t="shared" si="3"/>
        <v>3845</v>
      </c>
      <c r="AP5" s="75">
        <f t="shared" si="3"/>
        <v>152466.53999999998</v>
      </c>
      <c r="AQ5" s="76">
        <f t="shared" si="3"/>
        <v>0</v>
      </c>
      <c r="AR5" s="77">
        <f t="shared" si="3"/>
        <v>7042</v>
      </c>
      <c r="AS5" s="76">
        <f>AV5+AY5+BB5</f>
        <v>839651.54</v>
      </c>
      <c r="AT5" s="76"/>
      <c r="AU5" s="77">
        <f>AX5+BA5+BD5</f>
        <v>19918</v>
      </c>
      <c r="AV5" s="75">
        <f>AV6+AV16+AV19+AV24+AV30+AV33+AV34+AV35</f>
        <v>173219.82</v>
      </c>
      <c r="AW5" s="76">
        <f t="shared" ref="AW5:BD5" si="4">AW6+AW16+AW19+AW24+AW30+AW33</f>
        <v>0</v>
      </c>
      <c r="AX5" s="77">
        <f t="shared" si="4"/>
        <v>4223</v>
      </c>
      <c r="AY5" s="75">
        <f>AY6+AY16+AY19+AY24+AY30+AY33+AY35</f>
        <v>240721.07</v>
      </c>
      <c r="AZ5" s="76">
        <f t="shared" si="4"/>
        <v>0</v>
      </c>
      <c r="BA5" s="77">
        <f t="shared" si="4"/>
        <v>4216</v>
      </c>
      <c r="BB5" s="88">
        <f>BB6+BB16+BB19+BB24+BB30+BB33+BB34+BB35</f>
        <v>425710.65</v>
      </c>
      <c r="BC5" s="76">
        <f t="shared" si="4"/>
        <v>0</v>
      </c>
      <c r="BD5" s="77">
        <f t="shared" si="4"/>
        <v>11479</v>
      </c>
      <c r="BE5" s="8"/>
      <c r="BF5" s="102">
        <v>1025094.66</v>
      </c>
      <c r="BG5" s="103">
        <f>I5+U5</f>
        <v>708786</v>
      </c>
      <c r="BH5" s="108">
        <f>(BG5+AG5)-BF5</f>
        <v>0</v>
      </c>
      <c r="BI5" s="108">
        <v>37700.339999999997</v>
      </c>
      <c r="BJ5" s="108"/>
    </row>
    <row r="6" spans="2:62" s="1" customFormat="1" x14ac:dyDescent="0.25">
      <c r="B6" s="9"/>
      <c r="C6" s="10" t="s">
        <v>109</v>
      </c>
      <c r="D6" s="11">
        <v>920000</v>
      </c>
      <c r="E6" s="24">
        <v>760990</v>
      </c>
      <c r="F6" s="24">
        <f>L6+O6+R6+X6+AA6+AD6+AJ6+AM6+AP6+AV6+AY6+BB6</f>
        <v>772409.43000000017</v>
      </c>
      <c r="G6" s="15">
        <f t="shared" si="0"/>
        <v>0</v>
      </c>
      <c r="H6" s="15">
        <f t="shared" si="0"/>
        <v>54430</v>
      </c>
      <c r="I6" s="78">
        <f>L6+O6+R6</f>
        <v>105999.00000000001</v>
      </c>
      <c r="J6" s="78">
        <f t="shared" ref="J6:K22" si="5">M6+P6+S6</f>
        <v>0</v>
      </c>
      <c r="K6" s="79">
        <f t="shared" si="5"/>
        <v>7314</v>
      </c>
      <c r="L6" s="61">
        <v>0</v>
      </c>
      <c r="M6" s="78">
        <v>0</v>
      </c>
      <c r="N6" s="79">
        <v>0</v>
      </c>
      <c r="O6" s="61">
        <f>SUM(O7:O15)</f>
        <v>105999.00000000001</v>
      </c>
      <c r="P6" s="78">
        <v>0</v>
      </c>
      <c r="Q6" s="79">
        <v>7314</v>
      </c>
      <c r="R6" s="61">
        <v>0</v>
      </c>
      <c r="S6" s="78">
        <v>0</v>
      </c>
      <c r="T6" s="79">
        <v>0</v>
      </c>
      <c r="U6" s="78">
        <f t="shared" ref="U6:AU6" si="6">SUM(U7:U15)</f>
        <v>272962.18</v>
      </c>
      <c r="V6" s="78">
        <f t="shared" si="6"/>
        <v>0</v>
      </c>
      <c r="W6" s="79">
        <f t="shared" si="6"/>
        <v>20838</v>
      </c>
      <c r="X6" s="61">
        <f t="shared" si="6"/>
        <v>65825.3</v>
      </c>
      <c r="Y6" s="78">
        <f t="shared" si="6"/>
        <v>0</v>
      </c>
      <c r="Z6" s="79">
        <f t="shared" si="6"/>
        <v>5026</v>
      </c>
      <c r="AA6" s="61">
        <f t="shared" si="6"/>
        <v>68816.62999999999</v>
      </c>
      <c r="AB6" s="78">
        <f t="shared" si="6"/>
        <v>0</v>
      </c>
      <c r="AC6" s="79">
        <f t="shared" si="6"/>
        <v>5200</v>
      </c>
      <c r="AD6" s="61">
        <f t="shared" si="6"/>
        <v>138320.25000000003</v>
      </c>
      <c r="AE6" s="78">
        <f>SUM(AE8:AE15)</f>
        <v>0</v>
      </c>
      <c r="AF6" s="79">
        <f t="shared" si="6"/>
        <v>10612</v>
      </c>
      <c r="AG6" s="78">
        <f t="shared" si="6"/>
        <v>147271.56</v>
      </c>
      <c r="AH6" s="78">
        <f t="shared" si="6"/>
        <v>0</v>
      </c>
      <c r="AI6" s="79">
        <f t="shared" si="6"/>
        <v>8325</v>
      </c>
      <c r="AJ6" s="61">
        <f t="shared" si="6"/>
        <v>37700.339999999997</v>
      </c>
      <c r="AK6" s="78">
        <f t="shared" si="6"/>
        <v>0</v>
      </c>
      <c r="AL6" s="79">
        <f t="shared" si="6"/>
        <v>0</v>
      </c>
      <c r="AM6" s="61">
        <f t="shared" si="6"/>
        <v>50576.73</v>
      </c>
      <c r="AN6" s="78">
        <f t="shared" si="6"/>
        <v>0</v>
      </c>
      <c r="AO6" s="79">
        <f t="shared" si="6"/>
        <v>3845</v>
      </c>
      <c r="AP6" s="61">
        <f t="shared" si="6"/>
        <v>58994.49</v>
      </c>
      <c r="AQ6" s="78">
        <f t="shared" si="6"/>
        <v>0</v>
      </c>
      <c r="AR6" s="79">
        <f t="shared" si="6"/>
        <v>4480</v>
      </c>
      <c r="AS6" s="78">
        <f>SUM(AS7:AS15)</f>
        <v>246176.68999999997</v>
      </c>
      <c r="AT6" s="78">
        <f t="shared" si="6"/>
        <v>0</v>
      </c>
      <c r="AU6" s="79">
        <f t="shared" si="6"/>
        <v>17953</v>
      </c>
      <c r="AV6" s="116">
        <v>49983.06</v>
      </c>
      <c r="AW6" s="78">
        <v>0</v>
      </c>
      <c r="AX6" s="79">
        <v>3618</v>
      </c>
      <c r="AY6" s="116">
        <v>46926.17</v>
      </c>
      <c r="AZ6" s="78">
        <v>0</v>
      </c>
      <c r="BA6" s="79">
        <v>3436</v>
      </c>
      <c r="BB6" s="116">
        <v>149267.46000000002</v>
      </c>
      <c r="BC6" s="78">
        <v>0</v>
      </c>
      <c r="BD6" s="79">
        <v>10899</v>
      </c>
      <c r="BE6" s="12"/>
      <c r="BF6" s="102"/>
      <c r="BG6" s="103"/>
      <c r="BH6" s="108"/>
      <c r="BI6" s="108"/>
      <c r="BJ6" s="108"/>
    </row>
    <row r="7" spans="2:62" s="1" customFormat="1" x14ac:dyDescent="0.25">
      <c r="B7" s="9"/>
      <c r="C7" s="14" t="s">
        <v>23</v>
      </c>
      <c r="D7" s="15"/>
      <c r="E7" s="9"/>
      <c r="F7" s="24">
        <f t="shared" ref="F7:F14" si="7">L7+O7+R7+X7+AA7+AD7+AJ7+AM7+AP7+AV7+AY7+BB7</f>
        <v>486067.52</v>
      </c>
      <c r="G7" s="47">
        <f t="shared" ref="G7:G11" si="8">M7+P7+S7+Y7+AB7+AE8+AK7+AN7+AQ7+AW7+AZ7+BC7</f>
        <v>0</v>
      </c>
      <c r="H7" s="47">
        <f t="shared" ref="H7:H14" si="9">N7+Q7+T7+Z7+AC7+AF7+AL7+AO7+AR7+AX7+BA7+BD7</f>
        <v>23046</v>
      </c>
      <c r="I7" s="78">
        <f>L7+O7+R7</f>
        <v>47225.18</v>
      </c>
      <c r="J7" s="78">
        <f>M7+P7+S7</f>
        <v>0</v>
      </c>
      <c r="K7" s="79">
        <f t="shared" si="5"/>
        <v>2782</v>
      </c>
      <c r="L7" s="61"/>
      <c r="M7" s="78"/>
      <c r="N7" s="79"/>
      <c r="O7" s="61">
        <v>47225.18</v>
      </c>
      <c r="P7" s="78"/>
      <c r="Q7" s="79">
        <v>2782</v>
      </c>
      <c r="R7" s="61">
        <v>0</v>
      </c>
      <c r="S7" s="78">
        <v>0</v>
      </c>
      <c r="T7" s="79"/>
      <c r="U7" s="78">
        <f>X7+AA7+AD7</f>
        <v>165422</v>
      </c>
      <c r="V7" s="78">
        <f t="shared" ref="V7:V12" si="10">Y7+AB7+AE8</f>
        <v>0</v>
      </c>
      <c r="W7" s="79">
        <f t="shared" ref="V7:W22" si="11">Z7+AC7+AF7</f>
        <v>8478</v>
      </c>
      <c r="X7" s="61">
        <v>37242</v>
      </c>
      <c r="Y7" s="78"/>
      <c r="Z7" s="79">
        <v>2069</v>
      </c>
      <c r="AA7" s="61">
        <v>43440</v>
      </c>
      <c r="AB7" s="78"/>
      <c r="AC7" s="79">
        <v>2172</v>
      </c>
      <c r="AD7" s="61">
        <v>84740</v>
      </c>
      <c r="AE7" s="78"/>
      <c r="AF7" s="79">
        <v>4237</v>
      </c>
      <c r="AG7" s="78">
        <f t="shared" ref="AG7:AG80" si="12">AJ7+AM7+AP7</f>
        <v>105580.34</v>
      </c>
      <c r="AH7" s="78"/>
      <c r="AI7" s="79">
        <f t="shared" ref="AI7:AI80" si="13">AL7+AO7+AR7</f>
        <v>3394</v>
      </c>
      <c r="AJ7" s="61">
        <v>37700.339999999997</v>
      </c>
      <c r="AK7" s="78"/>
      <c r="AL7" s="79">
        <v>0</v>
      </c>
      <c r="AM7" s="61">
        <v>30560</v>
      </c>
      <c r="AN7" s="78"/>
      <c r="AO7" s="79">
        <v>1528</v>
      </c>
      <c r="AP7" s="61">
        <v>37320</v>
      </c>
      <c r="AQ7" s="78"/>
      <c r="AR7" s="79">
        <v>1866</v>
      </c>
      <c r="AS7" s="78">
        <f t="shared" ref="AS7:AS14" si="14">AV7+AY7+BB7</f>
        <v>167840</v>
      </c>
      <c r="AT7" s="78">
        <f>SUM(AT8:AT16)</f>
        <v>0</v>
      </c>
      <c r="AU7" s="79">
        <f t="shared" ref="AU7:AU80" si="15">AX7+BA7+BD7</f>
        <v>8392</v>
      </c>
      <c r="AV7" s="61">
        <v>33480</v>
      </c>
      <c r="AW7" s="78"/>
      <c r="AX7" s="79">
        <v>1674</v>
      </c>
      <c r="AY7" s="61">
        <v>31820</v>
      </c>
      <c r="AZ7" s="78"/>
      <c r="BA7" s="79">
        <v>1591</v>
      </c>
      <c r="BB7" s="61">
        <v>102540</v>
      </c>
      <c r="BC7" s="78"/>
      <c r="BD7" s="79">
        <v>5127</v>
      </c>
      <c r="BE7" s="13"/>
      <c r="BF7" s="102"/>
      <c r="BG7" s="103"/>
      <c r="BH7" s="108"/>
      <c r="BI7" s="108"/>
      <c r="BJ7" s="108"/>
    </row>
    <row r="8" spans="2:62" s="1" customFormat="1" x14ac:dyDescent="0.25">
      <c r="B8" s="9"/>
      <c r="C8" s="14" t="s">
        <v>45</v>
      </c>
      <c r="D8" s="15"/>
      <c r="E8" s="9"/>
      <c r="F8" s="24">
        <f t="shared" si="7"/>
        <v>162623.12000000002</v>
      </c>
      <c r="G8" s="47">
        <f t="shared" si="8"/>
        <v>0</v>
      </c>
      <c r="H8" s="47">
        <f t="shared" si="9"/>
        <v>17023</v>
      </c>
      <c r="I8" s="78">
        <f t="shared" ref="I8:K69" si="16">L8+O8+R8</f>
        <v>33170</v>
      </c>
      <c r="J8" s="78">
        <f t="shared" si="16"/>
        <v>0</v>
      </c>
      <c r="K8" s="79">
        <f t="shared" si="5"/>
        <v>2633</v>
      </c>
      <c r="L8" s="61"/>
      <c r="M8" s="78"/>
      <c r="N8" s="79"/>
      <c r="O8" s="61">
        <v>33170</v>
      </c>
      <c r="P8" s="78"/>
      <c r="Q8" s="79">
        <v>2633</v>
      </c>
      <c r="R8" s="61">
        <v>0</v>
      </c>
      <c r="S8" s="78">
        <v>0</v>
      </c>
      <c r="T8" s="79"/>
      <c r="U8" s="78">
        <f t="shared" ref="U8:V25" si="17">X8+AA8+AD8</f>
        <v>59079.12</v>
      </c>
      <c r="V8" s="78">
        <f t="shared" si="10"/>
        <v>0</v>
      </c>
      <c r="W8" s="79">
        <f t="shared" si="11"/>
        <v>6465</v>
      </c>
      <c r="X8" s="61">
        <v>14910</v>
      </c>
      <c r="Y8" s="78"/>
      <c r="Z8" s="79">
        <v>1491</v>
      </c>
      <c r="AA8" s="61">
        <v>13941.6</v>
      </c>
      <c r="AB8" s="78"/>
      <c r="AC8" s="79">
        <v>1570</v>
      </c>
      <c r="AD8" s="61">
        <v>30227.520000000004</v>
      </c>
      <c r="AE8" s="78"/>
      <c r="AF8" s="79">
        <v>3404</v>
      </c>
      <c r="AG8" s="78">
        <f t="shared" si="12"/>
        <v>23869.439999999999</v>
      </c>
      <c r="AH8" s="78"/>
      <c r="AI8" s="79">
        <f t="shared" si="13"/>
        <v>2688</v>
      </c>
      <c r="AJ8" s="61">
        <v>0</v>
      </c>
      <c r="AK8" s="78"/>
      <c r="AL8" s="79">
        <v>0</v>
      </c>
      <c r="AM8" s="61">
        <v>10966.8</v>
      </c>
      <c r="AN8" s="78"/>
      <c r="AO8" s="79">
        <v>1235</v>
      </c>
      <c r="AP8" s="61">
        <v>12902.64</v>
      </c>
      <c r="AQ8" s="78"/>
      <c r="AR8" s="79">
        <v>1453</v>
      </c>
      <c r="AS8" s="78">
        <f t="shared" si="14"/>
        <v>46504.560000000005</v>
      </c>
      <c r="AT8" s="78">
        <f>SUM(AT9:AT17)</f>
        <v>0</v>
      </c>
      <c r="AU8" s="79">
        <f t="shared" si="15"/>
        <v>5237</v>
      </c>
      <c r="AV8" s="61">
        <v>10629.36</v>
      </c>
      <c r="AW8" s="78"/>
      <c r="AX8" s="79">
        <v>1197</v>
      </c>
      <c r="AY8" s="61">
        <v>7823.2800000000007</v>
      </c>
      <c r="AZ8" s="78"/>
      <c r="BA8" s="79">
        <v>881</v>
      </c>
      <c r="BB8" s="61">
        <v>28051.920000000006</v>
      </c>
      <c r="BC8" s="78"/>
      <c r="BD8" s="79">
        <v>3159</v>
      </c>
      <c r="BE8" s="13"/>
      <c r="BF8" s="102"/>
      <c r="BG8" s="103"/>
      <c r="BH8" s="108"/>
      <c r="BI8" s="108"/>
      <c r="BJ8" s="108"/>
    </row>
    <row r="9" spans="2:62" s="1" customFormat="1" x14ac:dyDescent="0.25">
      <c r="B9" s="9"/>
      <c r="C9" s="14" t="s">
        <v>46</v>
      </c>
      <c r="D9" s="15"/>
      <c r="E9" s="9"/>
      <c r="F9" s="24">
        <f t="shared" si="7"/>
        <v>18573.760000000002</v>
      </c>
      <c r="G9" s="47">
        <f t="shared" si="8"/>
        <v>0</v>
      </c>
      <c r="H9" s="47">
        <f t="shared" si="9"/>
        <v>1364</v>
      </c>
      <c r="I9" s="78">
        <f t="shared" si="16"/>
        <v>2938</v>
      </c>
      <c r="J9" s="78">
        <f t="shared" si="16"/>
        <v>0</v>
      </c>
      <c r="K9" s="79">
        <f t="shared" si="5"/>
        <v>152</v>
      </c>
      <c r="L9" s="61"/>
      <c r="M9" s="78"/>
      <c r="N9" s="79"/>
      <c r="O9" s="61">
        <v>2938</v>
      </c>
      <c r="P9" s="78"/>
      <c r="Q9" s="79">
        <v>152</v>
      </c>
      <c r="R9" s="61">
        <v>0</v>
      </c>
      <c r="S9" s="78">
        <v>0</v>
      </c>
      <c r="T9" s="79"/>
      <c r="U9" s="78">
        <f t="shared" si="17"/>
        <v>6912.76</v>
      </c>
      <c r="V9" s="78">
        <f t="shared" si="10"/>
        <v>0</v>
      </c>
      <c r="W9" s="79">
        <f t="shared" si="11"/>
        <v>541</v>
      </c>
      <c r="X9" s="61">
        <v>1582.76</v>
      </c>
      <c r="Y9" s="78"/>
      <c r="Z9" s="79">
        <v>131</v>
      </c>
      <c r="AA9" s="61">
        <v>1339</v>
      </c>
      <c r="AB9" s="78"/>
      <c r="AC9" s="79">
        <v>103</v>
      </c>
      <c r="AD9" s="61">
        <v>3991</v>
      </c>
      <c r="AE9" s="78"/>
      <c r="AF9" s="79">
        <v>307</v>
      </c>
      <c r="AG9" s="78">
        <f t="shared" si="12"/>
        <v>3744</v>
      </c>
      <c r="AH9" s="78"/>
      <c r="AI9" s="79">
        <f t="shared" si="13"/>
        <v>288</v>
      </c>
      <c r="AJ9" s="61">
        <v>0</v>
      </c>
      <c r="AK9" s="78"/>
      <c r="AL9" s="79">
        <v>0</v>
      </c>
      <c r="AM9" s="61">
        <v>2275</v>
      </c>
      <c r="AN9" s="78"/>
      <c r="AO9" s="79">
        <v>175</v>
      </c>
      <c r="AP9" s="61">
        <v>1469</v>
      </c>
      <c r="AQ9" s="78"/>
      <c r="AR9" s="79">
        <v>113</v>
      </c>
      <c r="AS9" s="78">
        <f t="shared" si="14"/>
        <v>4979</v>
      </c>
      <c r="AT9" s="78">
        <f>SUM(AT10:AT18)</f>
        <v>0</v>
      </c>
      <c r="AU9" s="79">
        <f t="shared" si="15"/>
        <v>383</v>
      </c>
      <c r="AV9" s="61">
        <v>988</v>
      </c>
      <c r="AW9" s="78"/>
      <c r="AX9" s="79">
        <v>76</v>
      </c>
      <c r="AY9" s="61">
        <v>858</v>
      </c>
      <c r="AZ9" s="78"/>
      <c r="BA9" s="79">
        <v>66</v>
      </c>
      <c r="BB9" s="61">
        <v>3133</v>
      </c>
      <c r="BC9" s="78"/>
      <c r="BD9" s="79">
        <v>241</v>
      </c>
      <c r="BE9" s="13"/>
      <c r="BF9" s="102"/>
      <c r="BG9" s="103"/>
      <c r="BH9" s="108"/>
      <c r="BI9" s="108"/>
      <c r="BJ9" s="108"/>
    </row>
    <row r="10" spans="2:62" s="1" customFormat="1" x14ac:dyDescent="0.25">
      <c r="B10" s="9"/>
      <c r="C10" s="14" t="s">
        <v>26</v>
      </c>
      <c r="D10" s="15"/>
      <c r="E10" s="9"/>
      <c r="F10" s="24">
        <f t="shared" si="7"/>
        <v>1178.1999999999998</v>
      </c>
      <c r="G10" s="47">
        <f t="shared" si="8"/>
        <v>0</v>
      </c>
      <c r="H10" s="47">
        <f t="shared" si="9"/>
        <v>63</v>
      </c>
      <c r="I10" s="78">
        <f t="shared" si="16"/>
        <v>469.79999999999995</v>
      </c>
      <c r="J10" s="78">
        <f t="shared" si="16"/>
        <v>0</v>
      </c>
      <c r="K10" s="79">
        <f t="shared" si="5"/>
        <v>21</v>
      </c>
      <c r="L10" s="61"/>
      <c r="M10" s="78"/>
      <c r="N10" s="79"/>
      <c r="O10" s="61">
        <v>469.79999999999995</v>
      </c>
      <c r="P10" s="78"/>
      <c r="Q10" s="79">
        <v>21</v>
      </c>
      <c r="R10" s="61">
        <v>0</v>
      </c>
      <c r="S10" s="78">
        <v>0</v>
      </c>
      <c r="T10" s="79"/>
      <c r="U10" s="78">
        <f t="shared" si="17"/>
        <v>521.4</v>
      </c>
      <c r="V10" s="78">
        <f t="shared" si="10"/>
        <v>0</v>
      </c>
      <c r="W10" s="79">
        <f t="shared" si="11"/>
        <v>31</v>
      </c>
      <c r="X10" s="61">
        <v>113.39999999999999</v>
      </c>
      <c r="Y10" s="78"/>
      <c r="Z10" s="79">
        <v>7</v>
      </c>
      <c r="AA10" s="61">
        <v>85</v>
      </c>
      <c r="AB10" s="78"/>
      <c r="AC10" s="79">
        <v>5</v>
      </c>
      <c r="AD10" s="61">
        <v>323</v>
      </c>
      <c r="AE10" s="78"/>
      <c r="AF10" s="79">
        <v>19</v>
      </c>
      <c r="AG10" s="78">
        <f t="shared" si="12"/>
        <v>51</v>
      </c>
      <c r="AH10" s="78"/>
      <c r="AI10" s="79">
        <f t="shared" si="13"/>
        <v>3</v>
      </c>
      <c r="AJ10" s="61">
        <v>0</v>
      </c>
      <c r="AK10" s="78"/>
      <c r="AL10" s="79">
        <v>0</v>
      </c>
      <c r="AM10" s="61">
        <v>51</v>
      </c>
      <c r="AN10" s="78"/>
      <c r="AO10" s="79">
        <v>3</v>
      </c>
      <c r="AP10" s="61">
        <v>0</v>
      </c>
      <c r="AQ10" s="78"/>
      <c r="AR10" s="79">
        <v>0</v>
      </c>
      <c r="AS10" s="78">
        <f t="shared" si="14"/>
        <v>136</v>
      </c>
      <c r="AT10" s="78">
        <f>SUM(AT11:AT19)</f>
        <v>0</v>
      </c>
      <c r="AU10" s="79">
        <f t="shared" si="15"/>
        <v>8</v>
      </c>
      <c r="AV10" s="61">
        <v>17</v>
      </c>
      <c r="AW10" s="78"/>
      <c r="AX10" s="79">
        <v>1</v>
      </c>
      <c r="AY10" s="61">
        <v>102</v>
      </c>
      <c r="AZ10" s="78"/>
      <c r="BA10" s="79">
        <v>6</v>
      </c>
      <c r="BB10" s="61">
        <v>17</v>
      </c>
      <c r="BC10" s="78"/>
      <c r="BD10" s="79">
        <v>1</v>
      </c>
      <c r="BE10" s="13"/>
      <c r="BF10" s="102"/>
      <c r="BG10" s="103"/>
      <c r="BH10" s="108"/>
      <c r="BI10" s="108"/>
      <c r="BJ10" s="108"/>
    </row>
    <row r="11" spans="2:62" s="1" customFormat="1" x14ac:dyDescent="0.25">
      <c r="B11" s="9"/>
      <c r="C11" s="14" t="s">
        <v>47</v>
      </c>
      <c r="D11" s="15"/>
      <c r="E11" s="9"/>
      <c r="F11" s="24">
        <f t="shared" si="7"/>
        <v>63395.10000000002</v>
      </c>
      <c r="G11" s="47">
        <f t="shared" si="8"/>
        <v>0</v>
      </c>
      <c r="H11" s="47">
        <f t="shared" si="9"/>
        <v>7284</v>
      </c>
      <c r="I11" s="78">
        <f t="shared" si="16"/>
        <v>11439.900000000023</v>
      </c>
      <c r="J11" s="78">
        <f t="shared" si="16"/>
        <v>0</v>
      </c>
      <c r="K11" s="79">
        <f t="shared" si="5"/>
        <v>690</v>
      </c>
      <c r="L11" s="61"/>
      <c r="M11" s="78"/>
      <c r="N11" s="79"/>
      <c r="O11" s="61">
        <v>11439.900000000023</v>
      </c>
      <c r="P11" s="78"/>
      <c r="Q11" s="79">
        <v>690</v>
      </c>
      <c r="R11" s="61">
        <v>0</v>
      </c>
      <c r="S11" s="78">
        <v>0</v>
      </c>
      <c r="T11" s="79"/>
      <c r="U11" s="78">
        <f t="shared" si="17"/>
        <v>26343.200000000001</v>
      </c>
      <c r="V11" s="78">
        <f t="shared" si="10"/>
        <v>0</v>
      </c>
      <c r="W11" s="79">
        <f t="shared" si="11"/>
        <v>3224</v>
      </c>
      <c r="X11" s="61">
        <v>7670</v>
      </c>
      <c r="Y11" s="78"/>
      <c r="Z11" s="79">
        <v>767</v>
      </c>
      <c r="AA11" s="61">
        <v>6475.2</v>
      </c>
      <c r="AB11" s="78"/>
      <c r="AC11" s="79">
        <v>852</v>
      </c>
      <c r="AD11" s="61">
        <v>12198</v>
      </c>
      <c r="AE11" s="78"/>
      <c r="AF11" s="79">
        <v>1605</v>
      </c>
      <c r="AG11" s="78">
        <f t="shared" si="12"/>
        <v>9021.2000000000007</v>
      </c>
      <c r="AH11" s="78"/>
      <c r="AI11" s="79">
        <f t="shared" si="13"/>
        <v>1187</v>
      </c>
      <c r="AJ11" s="61">
        <v>0</v>
      </c>
      <c r="AK11" s="78"/>
      <c r="AL11" s="79">
        <v>0</v>
      </c>
      <c r="AM11" s="61">
        <v>3860.8</v>
      </c>
      <c r="AN11" s="78"/>
      <c r="AO11" s="79">
        <v>508</v>
      </c>
      <c r="AP11" s="61">
        <v>5160.3999999999996</v>
      </c>
      <c r="AQ11" s="78"/>
      <c r="AR11" s="79">
        <v>679</v>
      </c>
      <c r="AS11" s="78">
        <f t="shared" si="14"/>
        <v>16590.8</v>
      </c>
      <c r="AT11" s="78">
        <f>SUM(AT12:AT20)</f>
        <v>0</v>
      </c>
      <c r="AU11" s="79">
        <f t="shared" si="15"/>
        <v>2183</v>
      </c>
      <c r="AV11" s="61">
        <v>3473.2</v>
      </c>
      <c r="AW11" s="78"/>
      <c r="AX11" s="79">
        <v>457</v>
      </c>
      <c r="AY11" s="61">
        <v>4544.8</v>
      </c>
      <c r="AZ11" s="78"/>
      <c r="BA11" s="79">
        <v>598</v>
      </c>
      <c r="BB11" s="61">
        <v>8572.7999999999993</v>
      </c>
      <c r="BC11" s="78"/>
      <c r="BD11" s="79">
        <v>1128</v>
      </c>
      <c r="BE11" s="13"/>
      <c r="BF11" s="102"/>
      <c r="BG11" s="103"/>
      <c r="BH11" s="108"/>
      <c r="BI11" s="108"/>
      <c r="BJ11" s="108"/>
    </row>
    <row r="12" spans="2:62" s="1" customFormat="1" x14ac:dyDescent="0.25">
      <c r="B12" s="9"/>
      <c r="C12" s="14" t="s">
        <v>48</v>
      </c>
      <c r="D12" s="15"/>
      <c r="E12" s="9"/>
      <c r="F12" s="24">
        <f t="shared" si="7"/>
        <v>30554</v>
      </c>
      <c r="G12" s="47">
        <f>M12+P12+S12+Y12+AB12+AE13+AK12+AN12+AQ12+AW12+AZ12+BC12</f>
        <v>0</v>
      </c>
      <c r="H12" s="47">
        <f t="shared" si="9"/>
        <v>5435</v>
      </c>
      <c r="I12" s="78">
        <f>L12+O12+R12</f>
        <v>7884</v>
      </c>
      <c r="J12" s="78">
        <f t="shared" si="16"/>
        <v>0</v>
      </c>
      <c r="K12" s="79">
        <f t="shared" si="5"/>
        <v>1007</v>
      </c>
      <c r="L12" s="61"/>
      <c r="M12" s="78"/>
      <c r="N12" s="79"/>
      <c r="O12" s="61">
        <v>7884</v>
      </c>
      <c r="P12" s="78"/>
      <c r="Q12" s="79">
        <v>1007</v>
      </c>
      <c r="R12" s="61">
        <v>0</v>
      </c>
      <c r="S12" s="78">
        <v>0</v>
      </c>
      <c r="T12" s="79"/>
      <c r="U12" s="78">
        <f t="shared" si="17"/>
        <v>10450</v>
      </c>
      <c r="V12" s="78">
        <f t="shared" si="10"/>
        <v>0</v>
      </c>
      <c r="W12" s="79">
        <f t="shared" si="11"/>
        <v>1984</v>
      </c>
      <c r="X12" s="61">
        <v>3180</v>
      </c>
      <c r="Y12" s="78"/>
      <c r="Z12" s="79">
        <v>530</v>
      </c>
      <c r="AA12" s="61">
        <v>2325</v>
      </c>
      <c r="AB12" s="78"/>
      <c r="AC12" s="79">
        <v>465</v>
      </c>
      <c r="AD12" s="61">
        <v>4945</v>
      </c>
      <c r="AE12" s="78"/>
      <c r="AF12" s="79">
        <v>989</v>
      </c>
      <c r="AG12" s="78">
        <f t="shared" si="12"/>
        <v>3685</v>
      </c>
      <c r="AH12" s="78"/>
      <c r="AI12" s="79">
        <f t="shared" si="13"/>
        <v>737</v>
      </c>
      <c r="AJ12" s="61">
        <v>0</v>
      </c>
      <c r="AK12" s="78"/>
      <c r="AL12" s="79">
        <v>0</v>
      </c>
      <c r="AM12" s="61">
        <v>1885</v>
      </c>
      <c r="AN12" s="78"/>
      <c r="AO12" s="79">
        <v>377</v>
      </c>
      <c r="AP12" s="61">
        <v>1800</v>
      </c>
      <c r="AQ12" s="78"/>
      <c r="AR12" s="79">
        <v>360</v>
      </c>
      <c r="AS12" s="78">
        <f t="shared" si="14"/>
        <v>8535</v>
      </c>
      <c r="AT12" s="78">
        <f t="shared" ref="AT12" si="18">SUM(AT13:AT21)</f>
        <v>0</v>
      </c>
      <c r="AU12" s="79">
        <f t="shared" si="15"/>
        <v>1707</v>
      </c>
      <c r="AV12" s="61">
        <v>1015</v>
      </c>
      <c r="AW12" s="78"/>
      <c r="AX12" s="79">
        <v>203</v>
      </c>
      <c r="AY12" s="61">
        <v>1420</v>
      </c>
      <c r="AZ12" s="78"/>
      <c r="BA12" s="79">
        <v>284</v>
      </c>
      <c r="BB12" s="61">
        <v>6100</v>
      </c>
      <c r="BC12" s="78"/>
      <c r="BD12" s="79">
        <v>1220</v>
      </c>
      <c r="BE12" s="13"/>
      <c r="BF12" s="102"/>
      <c r="BG12" s="103"/>
      <c r="BH12" s="108"/>
      <c r="BI12" s="108"/>
      <c r="BJ12" s="108"/>
    </row>
    <row r="13" spans="2:62" s="1" customFormat="1" x14ac:dyDescent="0.25">
      <c r="B13" s="9"/>
      <c r="C13" s="14" t="s">
        <v>49</v>
      </c>
      <c r="D13" s="15"/>
      <c r="E13" s="9"/>
      <c r="F13" s="24">
        <f t="shared" si="7"/>
        <v>8071.35</v>
      </c>
      <c r="G13" s="47">
        <f>M13+P13+S13+Y13+AB13+AH13+AK13+AN13+AQ13+AW13+AZ13+BC13</f>
        <v>0</v>
      </c>
      <c r="H13" s="47">
        <f t="shared" si="9"/>
        <v>194</v>
      </c>
      <c r="I13" s="78">
        <f t="shared" si="16"/>
        <v>1470</v>
      </c>
      <c r="J13" s="78">
        <f t="shared" si="16"/>
        <v>0</v>
      </c>
      <c r="K13" s="79">
        <f t="shared" si="5"/>
        <v>23</v>
      </c>
      <c r="L13" s="61"/>
      <c r="M13" s="78"/>
      <c r="N13" s="79"/>
      <c r="O13" s="61">
        <v>1470</v>
      </c>
      <c r="P13" s="78"/>
      <c r="Q13" s="79">
        <v>23</v>
      </c>
      <c r="R13" s="61">
        <v>0</v>
      </c>
      <c r="S13" s="78">
        <v>0</v>
      </c>
      <c r="T13" s="79"/>
      <c r="U13" s="78">
        <f t="shared" si="17"/>
        <v>4052</v>
      </c>
      <c r="V13" s="78">
        <f>Y13+AB13+AE13</f>
        <v>0</v>
      </c>
      <c r="W13" s="79">
        <f t="shared" si="11"/>
        <v>104</v>
      </c>
      <c r="X13" s="61">
        <v>1008</v>
      </c>
      <c r="Y13" s="78"/>
      <c r="Z13" s="79">
        <v>24</v>
      </c>
      <c r="AA13" s="61">
        <v>1179.55</v>
      </c>
      <c r="AB13" s="78"/>
      <c r="AC13" s="79">
        <v>31</v>
      </c>
      <c r="AD13" s="61">
        <v>1864.4499999999998</v>
      </c>
      <c r="AE13" s="78"/>
      <c r="AF13" s="79">
        <v>49</v>
      </c>
      <c r="AG13" s="78">
        <f t="shared" si="12"/>
        <v>989.3</v>
      </c>
      <c r="AH13" s="78"/>
      <c r="AI13" s="79">
        <f t="shared" si="13"/>
        <v>26</v>
      </c>
      <c r="AJ13" s="61">
        <v>0</v>
      </c>
      <c r="AK13" s="78"/>
      <c r="AL13" s="79">
        <v>0</v>
      </c>
      <c r="AM13" s="61">
        <v>646.85</v>
      </c>
      <c r="AN13" s="78"/>
      <c r="AO13" s="79">
        <v>17</v>
      </c>
      <c r="AP13" s="61">
        <v>342.45</v>
      </c>
      <c r="AQ13" s="78"/>
      <c r="AR13" s="79">
        <v>9</v>
      </c>
      <c r="AS13" s="78">
        <f t="shared" si="14"/>
        <v>1560.05</v>
      </c>
      <c r="AT13" s="78">
        <f>SUM(AT14:AT22)</f>
        <v>0</v>
      </c>
      <c r="AU13" s="79">
        <f t="shared" si="15"/>
        <v>41</v>
      </c>
      <c r="AV13" s="61">
        <v>380.5</v>
      </c>
      <c r="AW13" s="78"/>
      <c r="AX13" s="79">
        <v>10</v>
      </c>
      <c r="AY13" s="61">
        <v>342.45</v>
      </c>
      <c r="AZ13" s="78"/>
      <c r="BA13" s="79">
        <v>9</v>
      </c>
      <c r="BB13" s="61">
        <v>837.09999999999991</v>
      </c>
      <c r="BC13" s="78"/>
      <c r="BD13" s="79">
        <v>22</v>
      </c>
      <c r="BE13" s="13"/>
      <c r="BF13" s="102"/>
      <c r="BG13" s="103"/>
      <c r="BH13" s="108"/>
      <c r="BI13" s="108"/>
      <c r="BJ13" s="108"/>
    </row>
    <row r="14" spans="2:62" s="1" customFormat="1" x14ac:dyDescent="0.25">
      <c r="B14" s="9"/>
      <c r="C14" s="14" t="s">
        <v>50</v>
      </c>
      <c r="D14" s="15"/>
      <c r="E14" s="9"/>
      <c r="F14" s="24">
        <f t="shared" si="7"/>
        <v>646.37999999999988</v>
      </c>
      <c r="G14" s="47">
        <f>M14+P14+S14+Y14+AB14+AE14+AK14+AN14+AQ14+AW14+AZ14+BC14</f>
        <v>0</v>
      </c>
      <c r="H14" s="47">
        <f t="shared" si="9"/>
        <v>21</v>
      </c>
      <c r="I14" s="78">
        <f t="shared" si="16"/>
        <v>102.12</v>
      </c>
      <c r="J14" s="78">
        <f t="shared" si="16"/>
        <v>0</v>
      </c>
      <c r="K14" s="79">
        <f t="shared" si="5"/>
        <v>6</v>
      </c>
      <c r="L14" s="61"/>
      <c r="M14" s="78"/>
      <c r="N14" s="79"/>
      <c r="O14" s="61">
        <v>102.12</v>
      </c>
      <c r="P14" s="78"/>
      <c r="Q14" s="79">
        <v>6</v>
      </c>
      <c r="R14" s="61">
        <v>0</v>
      </c>
      <c r="S14" s="78">
        <v>0</v>
      </c>
      <c r="T14" s="79"/>
      <c r="U14" s="78">
        <f t="shared" si="17"/>
        <v>181.70000000000002</v>
      </c>
      <c r="V14" s="78">
        <f t="shared" si="11"/>
        <v>0</v>
      </c>
      <c r="W14" s="79">
        <f t="shared" si="11"/>
        <v>11</v>
      </c>
      <c r="X14" s="61">
        <v>119.14</v>
      </c>
      <c r="Y14" s="78"/>
      <c r="Z14" s="79">
        <v>7</v>
      </c>
      <c r="AA14" s="61">
        <v>31.28</v>
      </c>
      <c r="AB14" s="78"/>
      <c r="AC14" s="79">
        <v>2</v>
      </c>
      <c r="AD14" s="61">
        <v>31.28</v>
      </c>
      <c r="AE14" s="78"/>
      <c r="AF14" s="79">
        <v>2</v>
      </c>
      <c r="AG14" s="78">
        <f t="shared" si="12"/>
        <v>331.28</v>
      </c>
      <c r="AH14" s="78"/>
      <c r="AI14" s="79">
        <f t="shared" si="13"/>
        <v>2</v>
      </c>
      <c r="AJ14" s="61">
        <v>0</v>
      </c>
      <c r="AK14" s="78"/>
      <c r="AL14" s="79">
        <v>0</v>
      </c>
      <c r="AM14" s="61">
        <f>31.28+300</f>
        <v>331.28</v>
      </c>
      <c r="AN14" s="78"/>
      <c r="AO14" s="79">
        <v>2</v>
      </c>
      <c r="AP14" s="61">
        <v>0</v>
      </c>
      <c r="AQ14" s="78"/>
      <c r="AR14" s="79">
        <v>0</v>
      </c>
      <c r="AS14" s="78">
        <f t="shared" si="14"/>
        <v>31.28</v>
      </c>
      <c r="AT14" s="78">
        <f>SUM(AT16:AT23)</f>
        <v>0</v>
      </c>
      <c r="AU14" s="79">
        <f t="shared" si="15"/>
        <v>2</v>
      </c>
      <c r="AV14" s="61">
        <v>0</v>
      </c>
      <c r="AW14" s="78"/>
      <c r="AX14" s="79">
        <v>0</v>
      </c>
      <c r="AY14" s="61">
        <v>15.64</v>
      </c>
      <c r="AZ14" s="78"/>
      <c r="BA14" s="79">
        <v>1</v>
      </c>
      <c r="BB14" s="61">
        <v>15.64</v>
      </c>
      <c r="BC14" s="78"/>
      <c r="BD14" s="79">
        <v>1</v>
      </c>
      <c r="BE14" s="13"/>
      <c r="BF14" s="102"/>
      <c r="BG14" s="103"/>
      <c r="BH14" s="108"/>
      <c r="BI14" s="108"/>
      <c r="BJ14" s="108"/>
    </row>
    <row r="15" spans="2:62" s="1" customFormat="1" ht="15.75" thickBot="1" x14ac:dyDescent="0.3">
      <c r="B15" s="9"/>
      <c r="C15" s="14" t="s">
        <v>51</v>
      </c>
      <c r="D15" s="15"/>
      <c r="E15" s="9"/>
      <c r="F15" s="24"/>
      <c r="G15" s="47"/>
      <c r="H15" s="47"/>
      <c r="I15" s="78"/>
      <c r="J15" s="78"/>
      <c r="K15" s="79"/>
      <c r="L15" s="61"/>
      <c r="M15" s="78"/>
      <c r="N15" s="79"/>
      <c r="O15" s="61">
        <v>1300</v>
      </c>
      <c r="P15" s="78"/>
      <c r="Q15" s="79"/>
      <c r="R15" s="61">
        <v>0</v>
      </c>
      <c r="S15" s="78">
        <v>0</v>
      </c>
      <c r="T15" s="79"/>
      <c r="U15" s="78"/>
      <c r="V15" s="78"/>
      <c r="W15" s="79"/>
      <c r="X15" s="61"/>
      <c r="Y15" s="78"/>
      <c r="Z15" s="79"/>
      <c r="AA15" s="61"/>
      <c r="AB15" s="78"/>
      <c r="AC15" s="79"/>
      <c r="AD15" s="61"/>
      <c r="AE15" s="78"/>
      <c r="AF15" s="79"/>
      <c r="AG15" s="78"/>
      <c r="AH15" s="78"/>
      <c r="AI15" s="79"/>
      <c r="AJ15" s="61"/>
      <c r="AK15" s="78"/>
      <c r="AL15" s="79"/>
      <c r="AM15" s="61"/>
      <c r="AN15" s="78"/>
      <c r="AO15" s="79"/>
      <c r="AP15" s="61"/>
      <c r="AQ15" s="78"/>
      <c r="AR15" s="79"/>
      <c r="AS15" s="78"/>
      <c r="AT15" s="78"/>
      <c r="AU15" s="79"/>
      <c r="AV15" s="61"/>
      <c r="AW15" s="78"/>
      <c r="AX15" s="79"/>
      <c r="AY15" s="61"/>
      <c r="AZ15" s="78"/>
      <c r="BA15" s="79"/>
      <c r="BB15" s="61"/>
      <c r="BC15" s="78"/>
      <c r="BD15" s="79"/>
      <c r="BE15" s="13"/>
      <c r="BF15" s="102"/>
      <c r="BG15" s="103"/>
      <c r="BH15" s="108"/>
      <c r="BI15" s="108"/>
      <c r="BJ15" s="108"/>
    </row>
    <row r="16" spans="2:62" s="1" customFormat="1" ht="40.5" customHeight="1" thickBot="1" x14ac:dyDescent="0.3">
      <c r="B16" s="18"/>
      <c r="C16" s="131" t="s">
        <v>108</v>
      </c>
      <c r="D16" s="20">
        <v>33000</v>
      </c>
      <c r="E16" s="50">
        <v>14000</v>
      </c>
      <c r="F16" s="56">
        <f t="shared" ref="F16:F35" si="19">L16+O16+R16+X16+AA16+AD16+AJ16+AM16+AP16+AV16+AY16+BB16</f>
        <v>12426</v>
      </c>
      <c r="G16" s="19">
        <f t="shared" ref="G16:G33" si="20">M16+P16+S16+Y16+AB16+AE16+AK16+AN16+AQ16+AW16+AZ16+BC16</f>
        <v>0</v>
      </c>
      <c r="H16" s="19">
        <f t="shared" ref="H16:H33" si="21">N16+Q16+T16+Z16+AC16+AF16+AL16+AO16+AR16+AX16+BA16+BD16</f>
        <v>699</v>
      </c>
      <c r="I16" s="80">
        <f>L16+O16+R16</f>
        <v>3063</v>
      </c>
      <c r="J16" s="80">
        <f>M16+P16+S16</f>
        <v>0</v>
      </c>
      <c r="K16" s="81">
        <f t="shared" si="5"/>
        <v>172</v>
      </c>
      <c r="L16" s="62">
        <v>0</v>
      </c>
      <c r="M16" s="80">
        <v>0</v>
      </c>
      <c r="N16" s="81">
        <v>0</v>
      </c>
      <c r="O16" s="62">
        <v>1938</v>
      </c>
      <c r="P16" s="80">
        <v>0</v>
      </c>
      <c r="Q16" s="81">
        <v>109</v>
      </c>
      <c r="R16" s="62">
        <v>1125</v>
      </c>
      <c r="S16" s="80">
        <v>0</v>
      </c>
      <c r="T16" s="81">
        <v>63</v>
      </c>
      <c r="U16" s="80">
        <f t="shared" si="17"/>
        <v>3531</v>
      </c>
      <c r="V16" s="80">
        <f t="shared" ref="V16:AJ16" si="22">SUM(V17:V18)</f>
        <v>0</v>
      </c>
      <c r="W16" s="81">
        <f t="shared" si="11"/>
        <v>200</v>
      </c>
      <c r="X16" s="62">
        <f t="shared" si="22"/>
        <v>1293</v>
      </c>
      <c r="Y16" s="80">
        <f t="shared" si="22"/>
        <v>0</v>
      </c>
      <c r="Z16" s="81">
        <f t="shared" si="22"/>
        <v>73</v>
      </c>
      <c r="AA16" s="62">
        <f t="shared" si="22"/>
        <v>1137</v>
      </c>
      <c r="AB16" s="80">
        <f t="shared" si="22"/>
        <v>0</v>
      </c>
      <c r="AC16" s="81">
        <f t="shared" si="22"/>
        <v>65</v>
      </c>
      <c r="AD16" s="62">
        <f t="shared" si="22"/>
        <v>1101</v>
      </c>
      <c r="AE16" s="80">
        <f t="shared" si="22"/>
        <v>0</v>
      </c>
      <c r="AF16" s="81">
        <f t="shared" si="22"/>
        <v>62</v>
      </c>
      <c r="AG16" s="80">
        <f t="shared" si="12"/>
        <v>3237</v>
      </c>
      <c r="AH16" s="80">
        <f t="shared" si="22"/>
        <v>0</v>
      </c>
      <c r="AI16" s="81">
        <f t="shared" si="13"/>
        <v>182</v>
      </c>
      <c r="AJ16" s="62">
        <f t="shared" si="22"/>
        <v>1125</v>
      </c>
      <c r="AK16" s="80"/>
      <c r="AL16" s="81">
        <f t="shared" ref="AL16:AM16" si="23">SUM(AL17:AL18)</f>
        <v>63</v>
      </c>
      <c r="AM16" s="62">
        <f t="shared" si="23"/>
        <v>0</v>
      </c>
      <c r="AN16" s="80"/>
      <c r="AO16" s="81">
        <f t="shared" ref="AO16" si="24">SUM(AO17:AO18)</f>
        <v>0</v>
      </c>
      <c r="AP16" s="62">
        <f>AP17+AP18</f>
        <v>2112</v>
      </c>
      <c r="AQ16" s="80">
        <f t="shared" ref="AQ16:AT16" si="25">AQ17+AQ18</f>
        <v>0</v>
      </c>
      <c r="AR16" s="81">
        <f t="shared" si="25"/>
        <v>119</v>
      </c>
      <c r="AS16" s="80">
        <f>AV16+AY16+BB16</f>
        <v>2595</v>
      </c>
      <c r="AT16" s="80">
        <f t="shared" si="25"/>
        <v>0</v>
      </c>
      <c r="AU16" s="81">
        <f t="shared" si="15"/>
        <v>145</v>
      </c>
      <c r="AV16" s="132">
        <v>753</v>
      </c>
      <c r="AW16" s="80">
        <f t="shared" ref="AW16:BD16" si="26">AW17+AW18</f>
        <v>0</v>
      </c>
      <c r="AX16" s="81">
        <f t="shared" si="26"/>
        <v>42</v>
      </c>
      <c r="AY16" s="132">
        <v>1362</v>
      </c>
      <c r="AZ16" s="80">
        <f t="shared" si="26"/>
        <v>0</v>
      </c>
      <c r="BA16" s="81">
        <f t="shared" si="26"/>
        <v>76</v>
      </c>
      <c r="BB16" s="132">
        <v>480</v>
      </c>
      <c r="BC16" s="80">
        <f t="shared" si="26"/>
        <v>0</v>
      </c>
      <c r="BD16" s="81">
        <f t="shared" si="26"/>
        <v>27</v>
      </c>
      <c r="BE16" s="22"/>
      <c r="BF16" s="102"/>
      <c r="BG16" s="103"/>
      <c r="BH16" s="108"/>
      <c r="BI16" s="108"/>
      <c r="BJ16" s="108"/>
    </row>
    <row r="17" spans="2:62" s="1" customFormat="1" x14ac:dyDescent="0.25">
      <c r="B17" s="9"/>
      <c r="C17" s="14" t="s">
        <v>24</v>
      </c>
      <c r="D17" s="15"/>
      <c r="E17" s="9"/>
      <c r="F17" s="24">
        <f t="shared" si="19"/>
        <v>11646</v>
      </c>
      <c r="G17" s="47">
        <f t="shared" si="20"/>
        <v>0</v>
      </c>
      <c r="H17" s="47">
        <f t="shared" si="21"/>
        <v>647</v>
      </c>
      <c r="I17" s="82">
        <f>L17+O17+R17</f>
        <v>2898</v>
      </c>
      <c r="J17" s="82">
        <f>M17+P17+S17</f>
        <v>0</v>
      </c>
      <c r="K17" s="83">
        <f t="shared" si="5"/>
        <v>161</v>
      </c>
      <c r="L17" s="63"/>
      <c r="M17" s="82"/>
      <c r="N17" s="83"/>
      <c r="O17" s="63">
        <v>1818</v>
      </c>
      <c r="P17" s="82"/>
      <c r="Q17" s="83">
        <v>101</v>
      </c>
      <c r="R17" s="63">
        <v>1080</v>
      </c>
      <c r="S17" s="82"/>
      <c r="T17" s="83">
        <v>60</v>
      </c>
      <c r="U17" s="82">
        <f>X17+AA17+AD17</f>
        <v>3186</v>
      </c>
      <c r="V17" s="82">
        <f t="shared" ref="V17:V18" si="27">Y17+AB17+AE17</f>
        <v>0</v>
      </c>
      <c r="W17" s="83">
        <f t="shared" si="11"/>
        <v>177</v>
      </c>
      <c r="X17" s="63">
        <v>1188</v>
      </c>
      <c r="Y17" s="82"/>
      <c r="Z17" s="83">
        <v>66</v>
      </c>
      <c r="AA17" s="63">
        <v>972</v>
      </c>
      <c r="AB17" s="82"/>
      <c r="AC17" s="83">
        <v>54</v>
      </c>
      <c r="AD17" s="63">
        <v>1026</v>
      </c>
      <c r="AE17" s="82"/>
      <c r="AF17" s="83">
        <v>57</v>
      </c>
      <c r="AG17" s="82">
        <f t="shared" si="12"/>
        <v>3042</v>
      </c>
      <c r="AH17" s="82"/>
      <c r="AI17" s="83">
        <f t="shared" si="13"/>
        <v>169</v>
      </c>
      <c r="AJ17" s="63">
        <v>1080</v>
      </c>
      <c r="AK17" s="82"/>
      <c r="AL17" s="83">
        <v>60</v>
      </c>
      <c r="AM17" s="63"/>
      <c r="AN17" s="82"/>
      <c r="AO17" s="83"/>
      <c r="AP17" s="63">
        <v>1962</v>
      </c>
      <c r="AQ17" s="82"/>
      <c r="AR17" s="83">
        <v>109</v>
      </c>
      <c r="AS17" s="82">
        <f>AV17+AY17+BB17</f>
        <v>2520</v>
      </c>
      <c r="AT17" s="82">
        <f>AW17+AZ17+BC17</f>
        <v>0</v>
      </c>
      <c r="AU17" s="83">
        <f t="shared" si="15"/>
        <v>140</v>
      </c>
      <c r="AV17" s="63">
        <v>738</v>
      </c>
      <c r="AW17" s="82"/>
      <c r="AX17" s="83">
        <v>41</v>
      </c>
      <c r="AY17" s="63">
        <v>1332</v>
      </c>
      <c r="AZ17" s="82"/>
      <c r="BA17" s="83">
        <v>74</v>
      </c>
      <c r="BB17" s="63">
        <v>450</v>
      </c>
      <c r="BC17" s="82"/>
      <c r="BD17" s="83">
        <v>25</v>
      </c>
      <c r="BE17" s="13"/>
      <c r="BF17" s="102"/>
      <c r="BG17" s="103"/>
      <c r="BH17" s="108"/>
      <c r="BI17" s="108"/>
      <c r="BJ17" s="108"/>
    </row>
    <row r="18" spans="2:62" s="1" customFormat="1" ht="15.75" thickBot="1" x14ac:dyDescent="0.3">
      <c r="B18" s="9"/>
      <c r="C18" s="14" t="s">
        <v>25</v>
      </c>
      <c r="D18" s="15"/>
      <c r="E18" s="9"/>
      <c r="F18" s="24">
        <f t="shared" si="19"/>
        <v>780</v>
      </c>
      <c r="G18" s="47">
        <f t="shared" si="20"/>
        <v>0</v>
      </c>
      <c r="H18" s="47">
        <f t="shared" si="21"/>
        <v>52</v>
      </c>
      <c r="I18" s="82">
        <f>L18+O18+R18</f>
        <v>165</v>
      </c>
      <c r="J18" s="82">
        <f t="shared" ref="J18" si="28">M18+P18+S18</f>
        <v>0</v>
      </c>
      <c r="K18" s="83">
        <f t="shared" si="5"/>
        <v>11</v>
      </c>
      <c r="L18" s="63"/>
      <c r="M18" s="82"/>
      <c r="N18" s="83"/>
      <c r="O18" s="63">
        <v>120</v>
      </c>
      <c r="P18" s="82"/>
      <c r="Q18" s="83">
        <v>8</v>
      </c>
      <c r="R18" s="63">
        <v>45</v>
      </c>
      <c r="S18" s="82"/>
      <c r="T18" s="83">
        <v>3</v>
      </c>
      <c r="U18" s="82">
        <f t="shared" si="17"/>
        <v>345</v>
      </c>
      <c r="V18" s="82">
        <f t="shared" si="27"/>
        <v>0</v>
      </c>
      <c r="W18" s="83">
        <f t="shared" si="11"/>
        <v>23</v>
      </c>
      <c r="X18" s="63">
        <v>105</v>
      </c>
      <c r="Y18" s="82"/>
      <c r="Z18" s="83">
        <v>7</v>
      </c>
      <c r="AA18" s="63">
        <v>165</v>
      </c>
      <c r="AB18" s="82"/>
      <c r="AC18" s="83">
        <v>11</v>
      </c>
      <c r="AD18" s="63">
        <v>75</v>
      </c>
      <c r="AE18" s="82"/>
      <c r="AF18" s="83">
        <v>5</v>
      </c>
      <c r="AG18" s="82">
        <f t="shared" si="12"/>
        <v>195</v>
      </c>
      <c r="AH18" s="82"/>
      <c r="AI18" s="83">
        <f t="shared" si="13"/>
        <v>13</v>
      </c>
      <c r="AJ18" s="63">
        <v>45</v>
      </c>
      <c r="AK18" s="82"/>
      <c r="AL18" s="83">
        <v>3</v>
      </c>
      <c r="AM18" s="63"/>
      <c r="AN18" s="82"/>
      <c r="AO18" s="83"/>
      <c r="AP18" s="63">
        <v>150</v>
      </c>
      <c r="AQ18" s="82"/>
      <c r="AR18" s="83">
        <v>10</v>
      </c>
      <c r="AS18" s="82">
        <f>AV18+AY18+BB18</f>
        <v>75</v>
      </c>
      <c r="AT18" s="82">
        <f>AW18+AZ18+BC18</f>
        <v>0</v>
      </c>
      <c r="AU18" s="83">
        <f t="shared" si="15"/>
        <v>5</v>
      </c>
      <c r="AV18" s="63">
        <v>15</v>
      </c>
      <c r="AW18" s="82"/>
      <c r="AX18" s="83">
        <v>1</v>
      </c>
      <c r="AY18" s="63">
        <v>30</v>
      </c>
      <c r="AZ18" s="82"/>
      <c r="BA18" s="83">
        <v>2</v>
      </c>
      <c r="BB18" s="63">
        <v>30</v>
      </c>
      <c r="BC18" s="82"/>
      <c r="BD18" s="83">
        <v>2</v>
      </c>
      <c r="BE18" s="13"/>
      <c r="BF18" s="102"/>
      <c r="BG18" s="103"/>
      <c r="BH18" s="108"/>
      <c r="BI18" s="108"/>
      <c r="BJ18" s="108"/>
    </row>
    <row r="19" spans="2:62" s="1" customFormat="1" ht="30.75" thickBot="1" x14ac:dyDescent="0.3">
      <c r="B19" s="18"/>
      <c r="C19" s="131" t="s">
        <v>107</v>
      </c>
      <c r="D19" s="20">
        <v>83000</v>
      </c>
      <c r="E19" s="50">
        <v>79896</v>
      </c>
      <c r="F19" s="56">
        <f t="shared" si="19"/>
        <v>76248</v>
      </c>
      <c r="G19" s="19">
        <f t="shared" si="20"/>
        <v>0</v>
      </c>
      <c r="H19" s="19">
        <f t="shared" si="21"/>
        <v>4514</v>
      </c>
      <c r="I19" s="80">
        <f t="shared" si="16"/>
        <v>16878</v>
      </c>
      <c r="J19" s="80">
        <f>M19+P19+S19</f>
        <v>0</v>
      </c>
      <c r="K19" s="81">
        <f t="shared" si="5"/>
        <v>1049</v>
      </c>
      <c r="L19" s="62">
        <v>0</v>
      </c>
      <c r="M19" s="80">
        <v>0</v>
      </c>
      <c r="N19" s="81">
        <v>0</v>
      </c>
      <c r="O19" s="62">
        <v>12717</v>
      </c>
      <c r="P19" s="80">
        <v>0</v>
      </c>
      <c r="Q19" s="81">
        <v>700</v>
      </c>
      <c r="R19" s="62">
        <v>4161</v>
      </c>
      <c r="S19" s="80">
        <v>0</v>
      </c>
      <c r="T19" s="81">
        <v>349</v>
      </c>
      <c r="U19" s="80">
        <f t="shared" si="17"/>
        <v>16166</v>
      </c>
      <c r="V19" s="80">
        <f t="shared" ref="V19:AJ19" si="29">SUM(V20:V23)</f>
        <v>0</v>
      </c>
      <c r="W19" s="81">
        <f t="shared" si="11"/>
        <v>1021</v>
      </c>
      <c r="X19" s="62">
        <f t="shared" si="29"/>
        <v>5631</v>
      </c>
      <c r="Y19" s="80">
        <f t="shared" si="29"/>
        <v>0</v>
      </c>
      <c r="Z19" s="81">
        <f t="shared" si="29"/>
        <v>350</v>
      </c>
      <c r="AA19" s="62">
        <f t="shared" si="29"/>
        <v>4493</v>
      </c>
      <c r="AB19" s="80">
        <f t="shared" si="29"/>
        <v>0</v>
      </c>
      <c r="AC19" s="81">
        <f t="shared" si="29"/>
        <v>278</v>
      </c>
      <c r="AD19" s="62">
        <f t="shared" si="29"/>
        <v>6042</v>
      </c>
      <c r="AE19" s="80">
        <f t="shared" si="29"/>
        <v>0</v>
      </c>
      <c r="AF19" s="81">
        <f t="shared" si="29"/>
        <v>393</v>
      </c>
      <c r="AG19" s="80">
        <f t="shared" si="12"/>
        <v>9511</v>
      </c>
      <c r="AH19" s="80">
        <f t="shared" si="29"/>
        <v>0</v>
      </c>
      <c r="AI19" s="81">
        <f t="shared" si="13"/>
        <v>624</v>
      </c>
      <c r="AJ19" s="62">
        <f t="shared" si="29"/>
        <v>4617</v>
      </c>
      <c r="AK19" s="80"/>
      <c r="AL19" s="81">
        <f t="shared" ref="AL19:AM19" si="30">SUM(AL20:AL23)</f>
        <v>298</v>
      </c>
      <c r="AM19" s="62">
        <f t="shared" si="30"/>
        <v>0</v>
      </c>
      <c r="AN19" s="80"/>
      <c r="AO19" s="81">
        <f t="shared" ref="AO19" si="31">SUM(AO20:AO23)</f>
        <v>0</v>
      </c>
      <c r="AP19" s="62">
        <f>SUM(AP20:AP23)</f>
        <v>4894</v>
      </c>
      <c r="AQ19" s="80">
        <f t="shared" ref="AQ19:AT19" si="32">SUM(AQ20:AQ23)</f>
        <v>0</v>
      </c>
      <c r="AR19" s="81">
        <f t="shared" si="32"/>
        <v>326</v>
      </c>
      <c r="AS19" s="80">
        <f t="shared" ref="AS19:AT80" si="33">AV19+AY19+BB19</f>
        <v>33693</v>
      </c>
      <c r="AT19" s="80">
        <f t="shared" si="32"/>
        <v>0</v>
      </c>
      <c r="AU19" s="81">
        <f t="shared" si="15"/>
        <v>1820</v>
      </c>
      <c r="AV19" s="132">
        <v>9264</v>
      </c>
      <c r="AW19" s="80">
        <f t="shared" ref="AW19:BD19" si="34">SUM(AW20:AW23)</f>
        <v>0</v>
      </c>
      <c r="AX19" s="81">
        <f t="shared" si="34"/>
        <v>563</v>
      </c>
      <c r="AY19" s="132">
        <v>12666</v>
      </c>
      <c r="AZ19" s="80">
        <f t="shared" si="34"/>
        <v>0</v>
      </c>
      <c r="BA19" s="81">
        <f t="shared" si="34"/>
        <v>704</v>
      </c>
      <c r="BB19" s="132">
        <v>11763</v>
      </c>
      <c r="BC19" s="80">
        <f t="shared" si="34"/>
        <v>0</v>
      </c>
      <c r="BD19" s="81">
        <f t="shared" si="34"/>
        <v>553</v>
      </c>
      <c r="BE19" s="22"/>
      <c r="BF19" s="102"/>
      <c r="BG19" s="103"/>
      <c r="BH19" s="108"/>
      <c r="BI19" s="108"/>
      <c r="BJ19" s="108"/>
    </row>
    <row r="20" spans="2:62" s="1" customFormat="1" x14ac:dyDescent="0.25">
      <c r="B20" s="9"/>
      <c r="C20" s="14" t="s">
        <v>27</v>
      </c>
      <c r="D20" s="15"/>
      <c r="E20" s="9"/>
      <c r="F20" s="24">
        <f t="shared" si="19"/>
        <v>15564.5</v>
      </c>
      <c r="G20" s="47">
        <f t="shared" si="20"/>
        <v>0</v>
      </c>
      <c r="H20" s="47">
        <f t="shared" si="21"/>
        <v>1539</v>
      </c>
      <c r="I20" s="82">
        <f>L20+O20+R20</f>
        <v>3664.5</v>
      </c>
      <c r="J20" s="82">
        <f t="shared" ref="J20:K37" si="35">M20+P20+S20</f>
        <v>0</v>
      </c>
      <c r="K20" s="83">
        <f>N20+Q20+T20</f>
        <v>349</v>
      </c>
      <c r="L20" s="63"/>
      <c r="M20" s="82"/>
      <c r="N20" s="83"/>
      <c r="O20" s="63">
        <v>2446.5</v>
      </c>
      <c r="P20" s="82"/>
      <c r="Q20" s="83">
        <v>233</v>
      </c>
      <c r="R20" s="63">
        <v>1218</v>
      </c>
      <c r="S20" s="82"/>
      <c r="T20" s="83">
        <v>116</v>
      </c>
      <c r="U20" s="82">
        <f>X20+AA20+AD20</f>
        <v>3570</v>
      </c>
      <c r="V20" s="82">
        <f t="shared" ref="V20:W37" si="36">Y20+AB20+AE20</f>
        <v>0</v>
      </c>
      <c r="W20" s="83">
        <f t="shared" si="11"/>
        <v>357</v>
      </c>
      <c r="X20" s="63">
        <v>1200</v>
      </c>
      <c r="Y20" s="82"/>
      <c r="Z20" s="83">
        <v>120</v>
      </c>
      <c r="AA20" s="63">
        <v>950</v>
      </c>
      <c r="AB20" s="82"/>
      <c r="AC20" s="83">
        <v>95</v>
      </c>
      <c r="AD20" s="63">
        <v>1420</v>
      </c>
      <c r="AE20" s="82"/>
      <c r="AF20" s="83">
        <v>142</v>
      </c>
      <c r="AG20" s="82">
        <f t="shared" si="12"/>
        <v>2270</v>
      </c>
      <c r="AH20" s="82"/>
      <c r="AI20" s="83">
        <f t="shared" si="13"/>
        <v>227</v>
      </c>
      <c r="AJ20" s="63">
        <v>1070</v>
      </c>
      <c r="AK20" s="82"/>
      <c r="AL20" s="83">
        <v>107</v>
      </c>
      <c r="AM20" s="63"/>
      <c r="AN20" s="82"/>
      <c r="AO20" s="83"/>
      <c r="AP20" s="63">
        <v>1200</v>
      </c>
      <c r="AQ20" s="82"/>
      <c r="AR20" s="83">
        <v>120</v>
      </c>
      <c r="AS20" s="82"/>
      <c r="AT20" s="82"/>
      <c r="AU20" s="83"/>
      <c r="AV20" s="63">
        <v>1940</v>
      </c>
      <c r="AW20" s="82"/>
      <c r="AX20" s="83">
        <v>194</v>
      </c>
      <c r="AY20" s="63">
        <v>2320</v>
      </c>
      <c r="AZ20" s="82"/>
      <c r="BA20" s="83">
        <v>232</v>
      </c>
      <c r="BB20" s="63">
        <v>1800</v>
      </c>
      <c r="BC20" s="82"/>
      <c r="BD20" s="83">
        <v>180</v>
      </c>
      <c r="BE20" s="13"/>
      <c r="BF20" s="102"/>
      <c r="BG20" s="103"/>
      <c r="BH20" s="108"/>
      <c r="BI20" s="108"/>
      <c r="BJ20" s="108"/>
    </row>
    <row r="21" spans="2:62" s="1" customFormat="1" x14ac:dyDescent="0.25">
      <c r="B21" s="9"/>
      <c r="C21" s="14" t="s">
        <v>28</v>
      </c>
      <c r="D21" s="15"/>
      <c r="E21" s="9"/>
      <c r="F21" s="24">
        <f t="shared" si="19"/>
        <v>15089</v>
      </c>
      <c r="G21" s="47">
        <f t="shared" si="20"/>
        <v>0</v>
      </c>
      <c r="H21" s="47">
        <f t="shared" si="21"/>
        <v>1474</v>
      </c>
      <c r="I21" s="82">
        <f t="shared" si="16"/>
        <v>3839</v>
      </c>
      <c r="J21" s="82">
        <f t="shared" si="35"/>
        <v>0</v>
      </c>
      <c r="K21" s="83">
        <f t="shared" si="5"/>
        <v>349</v>
      </c>
      <c r="L21" s="63"/>
      <c r="M21" s="82"/>
      <c r="N21" s="83"/>
      <c r="O21" s="63">
        <v>2563</v>
      </c>
      <c r="P21" s="82"/>
      <c r="Q21" s="83">
        <v>233</v>
      </c>
      <c r="R21" s="63">
        <v>1276</v>
      </c>
      <c r="S21" s="82"/>
      <c r="T21" s="83">
        <v>116</v>
      </c>
      <c r="U21" s="82">
        <f t="shared" si="17"/>
        <v>3570</v>
      </c>
      <c r="V21" s="82">
        <f t="shared" si="36"/>
        <v>0</v>
      </c>
      <c r="W21" s="83">
        <f t="shared" si="11"/>
        <v>357</v>
      </c>
      <c r="X21" s="63">
        <v>1200</v>
      </c>
      <c r="Y21" s="82"/>
      <c r="Z21" s="83">
        <v>120</v>
      </c>
      <c r="AA21" s="63">
        <v>950</v>
      </c>
      <c r="AB21" s="82"/>
      <c r="AC21" s="83">
        <v>95</v>
      </c>
      <c r="AD21" s="63">
        <v>1420</v>
      </c>
      <c r="AE21" s="82"/>
      <c r="AF21" s="83">
        <v>142</v>
      </c>
      <c r="AG21" s="82">
        <f t="shared" si="12"/>
        <v>2270</v>
      </c>
      <c r="AH21" s="82"/>
      <c r="AI21" s="83">
        <f t="shared" si="13"/>
        <v>227</v>
      </c>
      <c r="AJ21" s="63">
        <v>1070</v>
      </c>
      <c r="AK21" s="82"/>
      <c r="AL21" s="83">
        <v>107</v>
      </c>
      <c r="AM21" s="63"/>
      <c r="AN21" s="82"/>
      <c r="AO21" s="83"/>
      <c r="AP21" s="63">
        <v>1200</v>
      </c>
      <c r="AQ21" s="82"/>
      <c r="AR21" s="83">
        <v>120</v>
      </c>
      <c r="AS21" s="82"/>
      <c r="AT21" s="82"/>
      <c r="AU21" s="83"/>
      <c r="AV21" s="63">
        <v>1950</v>
      </c>
      <c r="AW21" s="82"/>
      <c r="AX21" s="83">
        <v>195</v>
      </c>
      <c r="AY21" s="63">
        <v>2320</v>
      </c>
      <c r="AZ21" s="82"/>
      <c r="BA21" s="83">
        <v>232</v>
      </c>
      <c r="BB21" s="63">
        <v>1140</v>
      </c>
      <c r="BC21" s="82"/>
      <c r="BD21" s="83">
        <v>114</v>
      </c>
      <c r="BE21" s="13"/>
      <c r="BF21" s="102"/>
      <c r="BG21" s="103"/>
      <c r="BH21" s="108"/>
      <c r="BI21" s="108"/>
      <c r="BJ21" s="108"/>
    </row>
    <row r="22" spans="2:62" s="1" customFormat="1" x14ac:dyDescent="0.25">
      <c r="B22" s="9"/>
      <c r="C22" s="14" t="s">
        <v>29</v>
      </c>
      <c r="D22" s="15"/>
      <c r="E22" s="9"/>
      <c r="F22" s="24">
        <f t="shared" si="19"/>
        <v>38174.5</v>
      </c>
      <c r="G22" s="47">
        <f t="shared" si="20"/>
        <v>0</v>
      </c>
      <c r="H22" s="47">
        <f t="shared" si="21"/>
        <v>1395</v>
      </c>
      <c r="I22" s="82">
        <f t="shared" si="16"/>
        <v>6854.5</v>
      </c>
      <c r="J22" s="82">
        <f t="shared" si="35"/>
        <v>0</v>
      </c>
      <c r="K22" s="83">
        <f t="shared" si="5"/>
        <v>315</v>
      </c>
      <c r="L22" s="63"/>
      <c r="M22" s="82"/>
      <c r="N22" s="83"/>
      <c r="O22" s="63">
        <v>5747.5</v>
      </c>
      <c r="P22" s="82"/>
      <c r="Q22" s="83">
        <v>206</v>
      </c>
      <c r="R22" s="63">
        <v>1107</v>
      </c>
      <c r="S22" s="82"/>
      <c r="T22" s="83">
        <v>109</v>
      </c>
      <c r="U22" s="82">
        <f t="shared" si="17"/>
        <v>8816</v>
      </c>
      <c r="V22" s="82">
        <f t="shared" si="36"/>
        <v>0</v>
      </c>
      <c r="W22" s="83">
        <f t="shared" si="11"/>
        <v>304</v>
      </c>
      <c r="X22" s="63">
        <v>3161</v>
      </c>
      <c r="Y22" s="82"/>
      <c r="Z22" s="83">
        <v>109</v>
      </c>
      <c r="AA22" s="63">
        <v>2523</v>
      </c>
      <c r="AB22" s="82"/>
      <c r="AC22" s="83">
        <v>87</v>
      </c>
      <c r="AD22" s="63">
        <v>3132</v>
      </c>
      <c r="AE22" s="82"/>
      <c r="AF22" s="83">
        <v>108</v>
      </c>
      <c r="AG22" s="82">
        <f t="shared" si="12"/>
        <v>4901</v>
      </c>
      <c r="AH22" s="82"/>
      <c r="AI22" s="83">
        <f t="shared" si="13"/>
        <v>169</v>
      </c>
      <c r="AJ22" s="63">
        <v>2407</v>
      </c>
      <c r="AK22" s="82"/>
      <c r="AL22" s="83">
        <v>83</v>
      </c>
      <c r="AM22" s="63"/>
      <c r="AN22" s="82"/>
      <c r="AO22" s="83"/>
      <c r="AP22" s="63">
        <v>2494</v>
      </c>
      <c r="AQ22" s="82"/>
      <c r="AR22" s="83">
        <v>86</v>
      </c>
      <c r="AS22" s="82"/>
      <c r="AT22" s="82"/>
      <c r="AU22" s="83"/>
      <c r="AV22" s="63">
        <v>4814</v>
      </c>
      <c r="AW22" s="82"/>
      <c r="AX22" s="83">
        <v>166</v>
      </c>
      <c r="AY22" s="63">
        <v>6206</v>
      </c>
      <c r="AZ22" s="82"/>
      <c r="BA22" s="83">
        <v>214</v>
      </c>
      <c r="BB22" s="63">
        <v>6583</v>
      </c>
      <c r="BC22" s="82"/>
      <c r="BD22" s="83">
        <v>227</v>
      </c>
      <c r="BE22" s="13"/>
      <c r="BF22" s="102"/>
      <c r="BG22" s="103"/>
      <c r="BH22" s="108"/>
      <c r="BI22" s="108"/>
      <c r="BJ22" s="108"/>
    </row>
    <row r="23" spans="2:62" s="1" customFormat="1" ht="15.75" thickBot="1" x14ac:dyDescent="0.3">
      <c r="B23" s="9"/>
      <c r="C23" s="14" t="s">
        <v>30</v>
      </c>
      <c r="D23" s="15"/>
      <c r="E23" s="9"/>
      <c r="F23" s="24">
        <f t="shared" si="19"/>
        <v>7420</v>
      </c>
      <c r="G23" s="47">
        <f t="shared" si="20"/>
        <v>0</v>
      </c>
      <c r="H23" s="47">
        <f t="shared" si="21"/>
        <v>106</v>
      </c>
      <c r="I23" s="82">
        <f t="shared" si="16"/>
        <v>2520</v>
      </c>
      <c r="J23" s="82">
        <f t="shared" si="35"/>
        <v>0</v>
      </c>
      <c r="K23" s="83">
        <f t="shared" si="35"/>
        <v>36</v>
      </c>
      <c r="L23" s="63"/>
      <c r="M23" s="82"/>
      <c r="N23" s="83"/>
      <c r="O23" s="63">
        <v>1960</v>
      </c>
      <c r="P23" s="82"/>
      <c r="Q23" s="83">
        <v>28</v>
      </c>
      <c r="R23" s="63">
        <v>560</v>
      </c>
      <c r="S23" s="82"/>
      <c r="T23" s="83">
        <v>8</v>
      </c>
      <c r="U23" s="82">
        <f t="shared" si="17"/>
        <v>210</v>
      </c>
      <c r="V23" s="82">
        <f t="shared" si="36"/>
        <v>0</v>
      </c>
      <c r="W23" s="83">
        <f t="shared" si="36"/>
        <v>3</v>
      </c>
      <c r="X23" s="63">
        <v>70</v>
      </c>
      <c r="Y23" s="82"/>
      <c r="Z23" s="83">
        <v>1</v>
      </c>
      <c r="AA23" s="63">
        <v>70</v>
      </c>
      <c r="AB23" s="82"/>
      <c r="AC23" s="83">
        <v>1</v>
      </c>
      <c r="AD23" s="63">
        <v>70</v>
      </c>
      <c r="AE23" s="82"/>
      <c r="AF23" s="83">
        <v>1</v>
      </c>
      <c r="AG23" s="82">
        <f t="shared" si="12"/>
        <v>70</v>
      </c>
      <c r="AH23" s="82"/>
      <c r="AI23" s="83">
        <f t="shared" si="13"/>
        <v>1</v>
      </c>
      <c r="AJ23" s="63">
        <v>70</v>
      </c>
      <c r="AK23" s="82"/>
      <c r="AL23" s="83">
        <v>1</v>
      </c>
      <c r="AM23" s="63"/>
      <c r="AN23" s="82"/>
      <c r="AO23" s="83"/>
      <c r="AP23" s="63">
        <v>0</v>
      </c>
      <c r="AQ23" s="82"/>
      <c r="AR23" s="83">
        <v>0</v>
      </c>
      <c r="AS23" s="82"/>
      <c r="AT23" s="82"/>
      <c r="AU23" s="83"/>
      <c r="AV23" s="63">
        <v>560</v>
      </c>
      <c r="AW23" s="82"/>
      <c r="AX23" s="83">
        <v>8</v>
      </c>
      <c r="AY23" s="63">
        <v>1820</v>
      </c>
      <c r="AZ23" s="82"/>
      <c r="BA23" s="83">
        <v>26</v>
      </c>
      <c r="BB23" s="63">
        <v>2240</v>
      </c>
      <c r="BC23" s="82"/>
      <c r="BD23" s="83">
        <v>32</v>
      </c>
      <c r="BE23" s="13"/>
      <c r="BF23" s="102"/>
      <c r="BG23" s="103"/>
      <c r="BH23" s="108"/>
      <c r="BI23" s="108"/>
      <c r="BJ23" s="108"/>
    </row>
    <row r="24" spans="2:62" s="1" customFormat="1" ht="15.75" thickBot="1" x14ac:dyDescent="0.3">
      <c r="B24" s="18"/>
      <c r="C24" s="131" t="s">
        <v>106</v>
      </c>
      <c r="D24" s="20">
        <v>345000</v>
      </c>
      <c r="E24" s="50">
        <v>296784</v>
      </c>
      <c r="F24" s="56">
        <f t="shared" si="19"/>
        <v>287240</v>
      </c>
      <c r="G24" s="19">
        <f t="shared" si="20"/>
        <v>0</v>
      </c>
      <c r="H24" s="19">
        <f t="shared" si="21"/>
        <v>7514</v>
      </c>
      <c r="I24" s="80">
        <f>L24+O24+R24</f>
        <v>54424</v>
      </c>
      <c r="J24" s="80">
        <f>M24+P24+S24</f>
        <v>0</v>
      </c>
      <c r="K24" s="81">
        <f t="shared" si="35"/>
        <v>2520</v>
      </c>
      <c r="L24" s="62"/>
      <c r="M24" s="80"/>
      <c r="N24" s="81"/>
      <c r="O24" s="62">
        <v>39233</v>
      </c>
      <c r="P24" s="80">
        <v>0</v>
      </c>
      <c r="Q24" s="81">
        <v>2058</v>
      </c>
      <c r="R24" s="62">
        <v>15191</v>
      </c>
      <c r="S24" s="80">
        <v>0</v>
      </c>
      <c r="T24" s="81">
        <v>462</v>
      </c>
      <c r="U24" s="80">
        <f t="shared" si="17"/>
        <v>82783</v>
      </c>
      <c r="V24" s="80">
        <f t="shared" ref="V24:AJ24" si="37">SUM(V25:V29)</f>
        <v>0</v>
      </c>
      <c r="W24" s="81">
        <f t="shared" si="36"/>
        <v>2656</v>
      </c>
      <c r="X24" s="62">
        <f t="shared" si="37"/>
        <v>0</v>
      </c>
      <c r="Y24" s="80">
        <f t="shared" si="37"/>
        <v>0</v>
      </c>
      <c r="Z24" s="81">
        <f t="shared" si="37"/>
        <v>0</v>
      </c>
      <c r="AA24" s="62">
        <f t="shared" si="37"/>
        <v>24433</v>
      </c>
      <c r="AB24" s="80">
        <f t="shared" si="37"/>
        <v>0</v>
      </c>
      <c r="AC24" s="81">
        <f t="shared" si="37"/>
        <v>784</v>
      </c>
      <c r="AD24" s="62">
        <f t="shared" si="37"/>
        <v>58350</v>
      </c>
      <c r="AE24" s="80">
        <f t="shared" si="37"/>
        <v>0</v>
      </c>
      <c r="AF24" s="81">
        <f t="shared" si="37"/>
        <v>1872</v>
      </c>
      <c r="AG24" s="80">
        <f t="shared" si="12"/>
        <v>72734</v>
      </c>
      <c r="AH24" s="80">
        <f t="shared" si="37"/>
        <v>0</v>
      </c>
      <c r="AI24" s="81">
        <f t="shared" si="13"/>
        <v>2338</v>
      </c>
      <c r="AJ24" s="62">
        <f t="shared" si="37"/>
        <v>25334</v>
      </c>
      <c r="AK24" s="80"/>
      <c r="AL24" s="81">
        <f t="shared" ref="AL24:AM24" si="38">SUM(AL25:AL29)</f>
        <v>816</v>
      </c>
      <c r="AM24" s="62">
        <f t="shared" si="38"/>
        <v>0</v>
      </c>
      <c r="AN24" s="80"/>
      <c r="AO24" s="81">
        <f t="shared" ref="AO24" si="39">SUM(AO25:AO29)</f>
        <v>0</v>
      </c>
      <c r="AP24" s="62">
        <f>SUM(AP25:AP29)</f>
        <v>47400</v>
      </c>
      <c r="AQ24" s="80">
        <f t="shared" ref="AQ24:AT24" si="40">SUM(AQ25:AQ29)</f>
        <v>0</v>
      </c>
      <c r="AR24" s="81">
        <f t="shared" si="40"/>
        <v>1522</v>
      </c>
      <c r="AS24" s="80">
        <f t="shared" si="33"/>
        <v>77299</v>
      </c>
      <c r="AT24" s="80">
        <f t="shared" si="40"/>
        <v>0</v>
      </c>
      <c r="AU24" s="81">
        <f t="shared" si="15"/>
        <v>0</v>
      </c>
      <c r="AV24" s="132">
        <v>26518</v>
      </c>
      <c r="AW24" s="80">
        <f t="shared" ref="AW24:BE24" si="41">SUM(AW25:AW29)</f>
        <v>0</v>
      </c>
      <c r="AX24" s="81">
        <f t="shared" si="41"/>
        <v>0</v>
      </c>
      <c r="AY24" s="132">
        <v>35746</v>
      </c>
      <c r="AZ24" s="80">
        <f t="shared" si="41"/>
        <v>0</v>
      </c>
      <c r="BA24" s="81">
        <f t="shared" si="41"/>
        <v>0</v>
      </c>
      <c r="BB24" s="132">
        <v>15035</v>
      </c>
      <c r="BC24" s="80">
        <f t="shared" si="41"/>
        <v>0</v>
      </c>
      <c r="BD24" s="81">
        <f t="shared" si="41"/>
        <v>0</v>
      </c>
      <c r="BE24" s="21">
        <f t="shared" si="41"/>
        <v>0</v>
      </c>
      <c r="BF24" s="102"/>
      <c r="BG24" s="103"/>
      <c r="BH24" s="108"/>
      <c r="BI24" s="108"/>
      <c r="BJ24" s="108"/>
    </row>
    <row r="25" spans="2:62" s="1" customFormat="1" ht="30" x14ac:dyDescent="0.25">
      <c r="B25" s="9"/>
      <c r="C25" s="14" t="s">
        <v>31</v>
      </c>
      <c r="D25" s="15"/>
      <c r="E25" s="9"/>
      <c r="F25" s="24">
        <f t="shared" si="19"/>
        <v>51040</v>
      </c>
      <c r="G25" s="47">
        <f t="shared" si="20"/>
        <v>0</v>
      </c>
      <c r="H25" s="47">
        <f t="shared" si="21"/>
        <v>2037</v>
      </c>
      <c r="I25" s="82">
        <f t="shared" si="16"/>
        <v>12736</v>
      </c>
      <c r="J25" s="82">
        <f t="shared" si="16"/>
        <v>0</v>
      </c>
      <c r="K25" s="83">
        <f t="shared" si="35"/>
        <v>840</v>
      </c>
      <c r="L25" s="63"/>
      <c r="M25" s="82"/>
      <c r="N25" s="83"/>
      <c r="O25" s="63">
        <v>8291</v>
      </c>
      <c r="P25" s="82"/>
      <c r="Q25" s="83">
        <v>713</v>
      </c>
      <c r="R25" s="63">
        <v>4445</v>
      </c>
      <c r="S25" s="82"/>
      <c r="T25" s="83">
        <v>127</v>
      </c>
      <c r="U25" s="82">
        <f t="shared" si="17"/>
        <v>20384</v>
      </c>
      <c r="V25" s="82">
        <f t="shared" si="17"/>
        <v>0</v>
      </c>
      <c r="W25" s="83">
        <f t="shared" si="36"/>
        <v>637</v>
      </c>
      <c r="X25" s="63">
        <v>0</v>
      </c>
      <c r="Y25" s="82"/>
      <c r="Z25" s="83">
        <v>0</v>
      </c>
      <c r="AA25" s="63">
        <v>6176</v>
      </c>
      <c r="AB25" s="82"/>
      <c r="AC25" s="83">
        <v>193</v>
      </c>
      <c r="AD25" s="63">
        <v>14208</v>
      </c>
      <c r="AE25" s="82"/>
      <c r="AF25" s="83">
        <v>444</v>
      </c>
      <c r="AG25" s="82">
        <f t="shared" si="12"/>
        <v>17920</v>
      </c>
      <c r="AH25" s="82"/>
      <c r="AI25" s="83">
        <f t="shared" si="13"/>
        <v>560</v>
      </c>
      <c r="AJ25" s="63">
        <v>5856</v>
      </c>
      <c r="AK25" s="82"/>
      <c r="AL25" s="83">
        <v>183</v>
      </c>
      <c r="AM25" s="63"/>
      <c r="AN25" s="82"/>
      <c r="AO25" s="83"/>
      <c r="AP25" s="63">
        <v>12064</v>
      </c>
      <c r="AQ25" s="82"/>
      <c r="AR25" s="83">
        <v>377</v>
      </c>
      <c r="AS25" s="82"/>
      <c r="AT25" s="82"/>
      <c r="AU25" s="83"/>
      <c r="AV25" s="63"/>
      <c r="AW25" s="82"/>
      <c r="AX25" s="83"/>
      <c r="AY25" s="63"/>
      <c r="AZ25" s="82"/>
      <c r="BA25" s="83"/>
      <c r="BB25" s="63"/>
      <c r="BC25" s="82"/>
      <c r="BD25" s="83"/>
      <c r="BE25" s="13"/>
      <c r="BF25" s="102"/>
      <c r="BG25" s="103"/>
      <c r="BH25" s="108"/>
      <c r="BI25" s="108"/>
      <c r="BJ25" s="108"/>
    </row>
    <row r="26" spans="2:62" s="1" customFormat="1" x14ac:dyDescent="0.25">
      <c r="B26" s="9"/>
      <c r="C26" s="14" t="s">
        <v>32</v>
      </c>
      <c r="D26" s="15"/>
      <c r="E26" s="9"/>
      <c r="F26" s="24">
        <f t="shared" si="19"/>
        <v>29570</v>
      </c>
      <c r="G26" s="47">
        <f t="shared" si="20"/>
        <v>0</v>
      </c>
      <c r="H26" s="47">
        <f t="shared" si="21"/>
        <v>1733</v>
      </c>
      <c r="I26" s="82">
        <f t="shared" si="16"/>
        <v>14300</v>
      </c>
      <c r="J26" s="82">
        <f t="shared" si="16"/>
        <v>0</v>
      </c>
      <c r="K26" s="83">
        <f t="shared" si="35"/>
        <v>715</v>
      </c>
      <c r="L26" s="63"/>
      <c r="M26" s="82"/>
      <c r="N26" s="83"/>
      <c r="O26" s="63">
        <v>11960</v>
      </c>
      <c r="P26" s="82"/>
      <c r="Q26" s="83">
        <v>598</v>
      </c>
      <c r="R26" s="63">
        <v>2340</v>
      </c>
      <c r="S26" s="82"/>
      <c r="T26" s="83">
        <v>117</v>
      </c>
      <c r="U26" s="82">
        <f t="shared" ref="U26:V83" si="42">X26+AA26+AD26</f>
        <v>8070</v>
      </c>
      <c r="V26" s="82">
        <f t="shared" si="42"/>
        <v>0</v>
      </c>
      <c r="W26" s="83">
        <f t="shared" si="36"/>
        <v>538</v>
      </c>
      <c r="X26" s="63">
        <v>0</v>
      </c>
      <c r="Y26" s="82"/>
      <c r="Z26" s="83">
        <v>0</v>
      </c>
      <c r="AA26" s="63">
        <v>2370</v>
      </c>
      <c r="AB26" s="82"/>
      <c r="AC26" s="83">
        <v>158</v>
      </c>
      <c r="AD26" s="63">
        <v>5700</v>
      </c>
      <c r="AE26" s="82"/>
      <c r="AF26" s="83">
        <v>380</v>
      </c>
      <c r="AG26" s="82">
        <f t="shared" si="12"/>
        <v>7200</v>
      </c>
      <c r="AH26" s="82"/>
      <c r="AI26" s="83">
        <f t="shared" si="13"/>
        <v>480</v>
      </c>
      <c r="AJ26" s="63">
        <v>2580</v>
      </c>
      <c r="AK26" s="82"/>
      <c r="AL26" s="83">
        <v>172</v>
      </c>
      <c r="AM26" s="63"/>
      <c r="AN26" s="82"/>
      <c r="AO26" s="83"/>
      <c r="AP26" s="63">
        <v>4620</v>
      </c>
      <c r="AQ26" s="82"/>
      <c r="AR26" s="83">
        <v>308</v>
      </c>
      <c r="AS26" s="82"/>
      <c r="AT26" s="82"/>
      <c r="AU26" s="83"/>
      <c r="AV26" s="63"/>
      <c r="AW26" s="82"/>
      <c r="AX26" s="83"/>
      <c r="AY26" s="63"/>
      <c r="AZ26" s="82"/>
      <c r="BA26" s="83"/>
      <c r="BB26" s="63"/>
      <c r="BC26" s="82"/>
      <c r="BD26" s="83"/>
      <c r="BE26" s="13"/>
      <c r="BF26" s="102"/>
      <c r="BG26" s="103"/>
      <c r="BH26" s="108"/>
      <c r="BI26" s="108"/>
      <c r="BJ26" s="108"/>
    </row>
    <row r="27" spans="2:62" s="1" customFormat="1" x14ac:dyDescent="0.25">
      <c r="B27" s="9"/>
      <c r="C27" s="14" t="s">
        <v>33</v>
      </c>
      <c r="D27" s="15"/>
      <c r="E27" s="9"/>
      <c r="F27" s="24">
        <f t="shared" si="19"/>
        <v>42911</v>
      </c>
      <c r="G27" s="47">
        <f t="shared" si="20"/>
        <v>0</v>
      </c>
      <c r="H27" s="47">
        <f t="shared" si="21"/>
        <v>1285</v>
      </c>
      <c r="I27" s="82">
        <f t="shared" si="16"/>
        <v>8908</v>
      </c>
      <c r="J27" s="82">
        <f t="shared" si="16"/>
        <v>0</v>
      </c>
      <c r="K27" s="83">
        <f t="shared" si="35"/>
        <v>366</v>
      </c>
      <c r="L27" s="63"/>
      <c r="M27" s="82"/>
      <c r="N27" s="83"/>
      <c r="O27" s="63">
        <v>5032</v>
      </c>
      <c r="P27" s="82"/>
      <c r="Q27" s="83">
        <v>264</v>
      </c>
      <c r="R27" s="63">
        <v>3876</v>
      </c>
      <c r="S27" s="82"/>
      <c r="T27" s="83">
        <v>102</v>
      </c>
      <c r="U27" s="82">
        <f t="shared" si="42"/>
        <v>17945</v>
      </c>
      <c r="V27" s="82">
        <f t="shared" si="42"/>
        <v>0</v>
      </c>
      <c r="W27" s="83">
        <f t="shared" si="36"/>
        <v>485</v>
      </c>
      <c r="X27" s="63">
        <v>0</v>
      </c>
      <c r="Y27" s="82"/>
      <c r="Z27" s="83">
        <v>0</v>
      </c>
      <c r="AA27" s="63">
        <v>5365</v>
      </c>
      <c r="AB27" s="82"/>
      <c r="AC27" s="83">
        <v>145</v>
      </c>
      <c r="AD27" s="63">
        <v>12580</v>
      </c>
      <c r="AE27" s="82"/>
      <c r="AF27" s="83">
        <v>340</v>
      </c>
      <c r="AG27" s="82">
        <f t="shared" si="12"/>
        <v>16058</v>
      </c>
      <c r="AH27" s="82"/>
      <c r="AI27" s="83">
        <f t="shared" si="13"/>
        <v>434</v>
      </c>
      <c r="AJ27" s="63">
        <v>5661</v>
      </c>
      <c r="AK27" s="82"/>
      <c r="AL27" s="83">
        <v>153</v>
      </c>
      <c r="AM27" s="63"/>
      <c r="AN27" s="82"/>
      <c r="AO27" s="83"/>
      <c r="AP27" s="63">
        <v>10397</v>
      </c>
      <c r="AQ27" s="82"/>
      <c r="AR27" s="83">
        <v>281</v>
      </c>
      <c r="AS27" s="82"/>
      <c r="AT27" s="82"/>
      <c r="AU27" s="83"/>
      <c r="AV27" s="63"/>
      <c r="AW27" s="82"/>
      <c r="AX27" s="83"/>
      <c r="AY27" s="63"/>
      <c r="AZ27" s="82"/>
      <c r="BA27" s="83"/>
      <c r="BB27" s="63"/>
      <c r="BC27" s="82"/>
      <c r="BD27" s="83"/>
      <c r="BE27" s="13"/>
      <c r="BF27" s="102"/>
      <c r="BG27" s="103"/>
      <c r="BH27" s="108"/>
      <c r="BI27" s="108"/>
      <c r="BJ27" s="108"/>
    </row>
    <row r="28" spans="2:62" s="1" customFormat="1" x14ac:dyDescent="0.25">
      <c r="B28" s="9"/>
      <c r="C28" s="14" t="s">
        <v>34</v>
      </c>
      <c r="D28" s="15"/>
      <c r="E28" s="9"/>
      <c r="F28" s="24">
        <f t="shared" si="19"/>
        <v>34640</v>
      </c>
      <c r="G28" s="47">
        <f t="shared" si="20"/>
        <v>0</v>
      </c>
      <c r="H28" s="47">
        <f t="shared" si="21"/>
        <v>1016</v>
      </c>
      <c r="I28" s="82">
        <f t="shared" si="16"/>
        <v>3360</v>
      </c>
      <c r="J28" s="82">
        <f t="shared" si="16"/>
        <v>0</v>
      </c>
      <c r="K28" s="83">
        <f t="shared" si="35"/>
        <v>96</v>
      </c>
      <c r="L28" s="63"/>
      <c r="M28" s="82"/>
      <c r="N28" s="83"/>
      <c r="O28" s="63">
        <v>2590</v>
      </c>
      <c r="P28" s="82"/>
      <c r="Q28" s="83">
        <v>74</v>
      </c>
      <c r="R28" s="63">
        <v>770</v>
      </c>
      <c r="S28" s="82"/>
      <c r="T28" s="83">
        <v>22</v>
      </c>
      <c r="U28" s="82">
        <f t="shared" si="42"/>
        <v>16728</v>
      </c>
      <c r="V28" s="82">
        <f t="shared" si="42"/>
        <v>0</v>
      </c>
      <c r="W28" s="83">
        <f t="shared" si="36"/>
        <v>492</v>
      </c>
      <c r="X28" s="63">
        <v>0</v>
      </c>
      <c r="Y28" s="82"/>
      <c r="Z28" s="83">
        <v>0</v>
      </c>
      <c r="AA28" s="63">
        <v>4828</v>
      </c>
      <c r="AB28" s="82"/>
      <c r="AC28" s="83">
        <v>142</v>
      </c>
      <c r="AD28" s="63">
        <v>11900</v>
      </c>
      <c r="AE28" s="82"/>
      <c r="AF28" s="83">
        <v>350</v>
      </c>
      <c r="AG28" s="82">
        <f t="shared" si="12"/>
        <v>14552</v>
      </c>
      <c r="AH28" s="82"/>
      <c r="AI28" s="83">
        <f t="shared" si="13"/>
        <v>428</v>
      </c>
      <c r="AJ28" s="63">
        <v>5270</v>
      </c>
      <c r="AK28" s="82"/>
      <c r="AL28" s="83">
        <v>155</v>
      </c>
      <c r="AM28" s="63"/>
      <c r="AN28" s="82"/>
      <c r="AO28" s="83"/>
      <c r="AP28" s="63">
        <v>9282</v>
      </c>
      <c r="AQ28" s="82"/>
      <c r="AR28" s="83">
        <v>273</v>
      </c>
      <c r="AS28" s="82"/>
      <c r="AT28" s="82"/>
      <c r="AU28" s="83"/>
      <c r="AV28" s="63"/>
      <c r="AW28" s="82"/>
      <c r="AX28" s="83"/>
      <c r="AY28" s="63"/>
      <c r="AZ28" s="82"/>
      <c r="BA28" s="83"/>
      <c r="BB28" s="63"/>
      <c r="BC28" s="82"/>
      <c r="BD28" s="83"/>
      <c r="BE28" s="13"/>
      <c r="BF28" s="102"/>
      <c r="BG28" s="103"/>
      <c r="BH28" s="108"/>
      <c r="BI28" s="108"/>
      <c r="BJ28" s="108"/>
    </row>
    <row r="29" spans="2:62" s="1" customFormat="1" ht="15.75" thickBot="1" x14ac:dyDescent="0.3">
      <c r="B29" s="9"/>
      <c r="C29" s="14" t="s">
        <v>35</v>
      </c>
      <c r="D29" s="15"/>
      <c r="E29" s="9"/>
      <c r="F29" s="24">
        <f t="shared" si="19"/>
        <v>51780</v>
      </c>
      <c r="G29" s="47">
        <f t="shared" si="20"/>
        <v>0</v>
      </c>
      <c r="H29" s="47">
        <f t="shared" si="21"/>
        <v>1443</v>
      </c>
      <c r="I29" s="82">
        <f t="shared" si="16"/>
        <v>15120</v>
      </c>
      <c r="J29" s="82">
        <f t="shared" si="16"/>
        <v>0</v>
      </c>
      <c r="K29" s="83">
        <f t="shared" si="35"/>
        <v>503</v>
      </c>
      <c r="L29" s="63"/>
      <c r="M29" s="82"/>
      <c r="N29" s="83"/>
      <c r="O29" s="63">
        <v>11360</v>
      </c>
      <c r="P29" s="82"/>
      <c r="Q29" s="83">
        <v>409</v>
      </c>
      <c r="R29" s="63">
        <v>3760</v>
      </c>
      <c r="S29" s="82"/>
      <c r="T29" s="83">
        <v>94</v>
      </c>
      <c r="U29" s="82">
        <f t="shared" si="42"/>
        <v>19656</v>
      </c>
      <c r="V29" s="82">
        <f t="shared" si="42"/>
        <v>0</v>
      </c>
      <c r="W29" s="83">
        <f t="shared" si="36"/>
        <v>504</v>
      </c>
      <c r="X29" s="63">
        <v>0</v>
      </c>
      <c r="Y29" s="82"/>
      <c r="Z29" s="83">
        <v>0</v>
      </c>
      <c r="AA29" s="63">
        <v>5694</v>
      </c>
      <c r="AB29" s="82"/>
      <c r="AC29" s="83">
        <v>146</v>
      </c>
      <c r="AD29" s="63">
        <v>13962</v>
      </c>
      <c r="AE29" s="82"/>
      <c r="AF29" s="83">
        <v>358</v>
      </c>
      <c r="AG29" s="82">
        <f t="shared" si="12"/>
        <v>17004</v>
      </c>
      <c r="AH29" s="82"/>
      <c r="AI29" s="83">
        <f t="shared" si="13"/>
        <v>436</v>
      </c>
      <c r="AJ29" s="63">
        <v>5967</v>
      </c>
      <c r="AK29" s="82"/>
      <c r="AL29" s="83">
        <v>153</v>
      </c>
      <c r="AM29" s="63"/>
      <c r="AN29" s="82"/>
      <c r="AO29" s="83"/>
      <c r="AP29" s="63">
        <v>11037</v>
      </c>
      <c r="AQ29" s="82"/>
      <c r="AR29" s="83">
        <v>283</v>
      </c>
      <c r="AS29" s="82"/>
      <c r="AT29" s="82"/>
      <c r="AU29" s="83"/>
      <c r="AV29" s="63"/>
      <c r="AW29" s="82"/>
      <c r="AX29" s="83"/>
      <c r="AY29" s="63"/>
      <c r="AZ29" s="82"/>
      <c r="BA29" s="83"/>
      <c r="BB29" s="63"/>
      <c r="BC29" s="82"/>
      <c r="BD29" s="83"/>
      <c r="BE29" s="13"/>
      <c r="BF29" s="102"/>
      <c r="BG29" s="103"/>
      <c r="BH29" s="108"/>
      <c r="BI29" s="108"/>
      <c r="BJ29" s="108"/>
    </row>
    <row r="30" spans="2:62" s="1" customFormat="1" ht="15.75" thickBot="1" x14ac:dyDescent="0.3">
      <c r="B30" s="18"/>
      <c r="C30" s="131" t="s">
        <v>105</v>
      </c>
      <c r="D30" s="20">
        <v>117000</v>
      </c>
      <c r="E30" s="50">
        <v>116977</v>
      </c>
      <c r="F30" s="56">
        <f t="shared" si="19"/>
        <v>111761.77</v>
      </c>
      <c r="G30" s="19">
        <f t="shared" si="20"/>
        <v>0</v>
      </c>
      <c r="H30" s="19">
        <f t="shared" si="21"/>
        <v>2263</v>
      </c>
      <c r="I30" s="80">
        <f t="shared" si="16"/>
        <v>25192.000000000004</v>
      </c>
      <c r="J30" s="80">
        <f>M30+P30+S30</f>
        <v>0</v>
      </c>
      <c r="K30" s="81">
        <f t="shared" si="35"/>
        <v>675</v>
      </c>
      <c r="L30" s="62">
        <v>0</v>
      </c>
      <c r="M30" s="80">
        <v>0</v>
      </c>
      <c r="N30" s="81">
        <v>0</v>
      </c>
      <c r="O30" s="62">
        <v>17972.800000000003</v>
      </c>
      <c r="P30" s="80">
        <v>0</v>
      </c>
      <c r="Q30" s="81">
        <v>483</v>
      </c>
      <c r="R30" s="62">
        <v>7219.2000000000007</v>
      </c>
      <c r="S30" s="80">
        <v>0</v>
      </c>
      <c r="T30" s="81">
        <v>192</v>
      </c>
      <c r="U30" s="80">
        <f>X30+AA30+AD30</f>
        <v>26237.82</v>
      </c>
      <c r="V30" s="80">
        <f t="shared" ref="V30:AJ30" si="43">SUM(V31:V32)</f>
        <v>0</v>
      </c>
      <c r="W30" s="81">
        <f t="shared" si="36"/>
        <v>698</v>
      </c>
      <c r="X30" s="62">
        <f t="shared" si="43"/>
        <v>7066.92</v>
      </c>
      <c r="Y30" s="80">
        <f t="shared" si="43"/>
        <v>0</v>
      </c>
      <c r="Z30" s="81">
        <f t="shared" si="43"/>
        <v>188</v>
      </c>
      <c r="AA30" s="62">
        <f t="shared" si="43"/>
        <v>8532.93</v>
      </c>
      <c r="AB30" s="80">
        <f t="shared" si="43"/>
        <v>0</v>
      </c>
      <c r="AC30" s="81">
        <f t="shared" si="43"/>
        <v>227</v>
      </c>
      <c r="AD30" s="62">
        <f t="shared" si="43"/>
        <v>10637.970000000001</v>
      </c>
      <c r="AE30" s="80">
        <f t="shared" si="43"/>
        <v>0</v>
      </c>
      <c r="AF30" s="81">
        <f t="shared" si="43"/>
        <v>283</v>
      </c>
      <c r="AG30" s="80">
        <f t="shared" si="12"/>
        <v>33455.1</v>
      </c>
      <c r="AH30" s="80">
        <f t="shared" si="43"/>
        <v>0</v>
      </c>
      <c r="AI30" s="81">
        <f t="shared" si="13"/>
        <v>890</v>
      </c>
      <c r="AJ30" s="62">
        <f t="shared" si="43"/>
        <v>11089.05</v>
      </c>
      <c r="AK30" s="80"/>
      <c r="AL30" s="81">
        <f t="shared" ref="AL30:AM30" si="44">SUM(AL31:AL32)</f>
        <v>295</v>
      </c>
      <c r="AM30" s="62">
        <f t="shared" si="44"/>
        <v>0</v>
      </c>
      <c r="AN30" s="80"/>
      <c r="AO30" s="81">
        <f t="shared" ref="AO30" si="45">SUM(AO31:AO32)</f>
        <v>0</v>
      </c>
      <c r="AP30" s="62">
        <f>SUM(AP31:AP32)</f>
        <v>22366.05</v>
      </c>
      <c r="AQ30" s="80">
        <f t="shared" ref="AQ30:AT30" si="46">SUM(AQ31:AQ32)</f>
        <v>0</v>
      </c>
      <c r="AR30" s="81">
        <f t="shared" si="46"/>
        <v>595</v>
      </c>
      <c r="AS30" s="80">
        <f t="shared" si="33"/>
        <v>26876.85</v>
      </c>
      <c r="AT30" s="80">
        <f t="shared" si="46"/>
        <v>0</v>
      </c>
      <c r="AU30" s="81">
        <f t="shared" si="15"/>
        <v>0</v>
      </c>
      <c r="AV30" s="132">
        <v>9923.76</v>
      </c>
      <c r="AW30" s="80">
        <f t="shared" ref="AW30:BD30" si="47">SUM(AW31:AW32)</f>
        <v>0</v>
      </c>
      <c r="AX30" s="81">
        <f t="shared" si="47"/>
        <v>0</v>
      </c>
      <c r="AY30" s="132">
        <v>11652.9</v>
      </c>
      <c r="AZ30" s="80">
        <f t="shared" si="47"/>
        <v>0</v>
      </c>
      <c r="BA30" s="81">
        <f t="shared" si="47"/>
        <v>0</v>
      </c>
      <c r="BB30" s="132">
        <v>5300.19</v>
      </c>
      <c r="BC30" s="80">
        <f t="shared" si="47"/>
        <v>0</v>
      </c>
      <c r="BD30" s="81">
        <f t="shared" si="47"/>
        <v>0</v>
      </c>
      <c r="BE30" s="22"/>
      <c r="BF30" s="102"/>
      <c r="BG30" s="103"/>
      <c r="BH30" s="108"/>
      <c r="BI30" s="108"/>
      <c r="BJ30" s="108"/>
    </row>
    <row r="31" spans="2:62" s="1" customFormat="1" ht="30" x14ac:dyDescent="0.25">
      <c r="B31" s="9"/>
      <c r="C31" s="14" t="s">
        <v>36</v>
      </c>
      <c r="D31" s="15"/>
      <c r="E31" s="9"/>
      <c r="F31" s="24">
        <f t="shared" si="19"/>
        <v>21803.73</v>
      </c>
      <c r="G31" s="47">
        <f t="shared" si="20"/>
        <v>0</v>
      </c>
      <c r="H31" s="47">
        <f t="shared" si="21"/>
        <v>585</v>
      </c>
      <c r="I31" s="82">
        <f t="shared" si="16"/>
        <v>5752.7999999999993</v>
      </c>
      <c r="J31" s="82">
        <f>M31+P31+S31</f>
        <v>0</v>
      </c>
      <c r="K31" s="83">
        <f t="shared" si="35"/>
        <v>158</v>
      </c>
      <c r="L31" s="63"/>
      <c r="M31" s="82"/>
      <c r="N31" s="83"/>
      <c r="O31" s="63">
        <v>4098.3999999999996</v>
      </c>
      <c r="P31" s="82"/>
      <c r="Q31" s="83">
        <v>114</v>
      </c>
      <c r="R31" s="63">
        <v>1654.4</v>
      </c>
      <c r="S31" s="82"/>
      <c r="T31" s="83">
        <v>44</v>
      </c>
      <c r="U31" s="82">
        <f t="shared" si="42"/>
        <v>6841.380000000001</v>
      </c>
      <c r="V31" s="82">
        <f t="shared" si="42"/>
        <v>0</v>
      </c>
      <c r="W31" s="83">
        <f t="shared" si="36"/>
        <v>182</v>
      </c>
      <c r="X31" s="63">
        <v>1879.5000000000002</v>
      </c>
      <c r="Y31" s="82"/>
      <c r="Z31" s="83">
        <v>50</v>
      </c>
      <c r="AA31" s="63">
        <v>2217.8100000000004</v>
      </c>
      <c r="AB31" s="82"/>
      <c r="AC31" s="83">
        <v>59</v>
      </c>
      <c r="AD31" s="63">
        <v>2744.07</v>
      </c>
      <c r="AE31" s="82"/>
      <c r="AF31" s="83">
        <v>73</v>
      </c>
      <c r="AG31" s="82">
        <f t="shared" si="12"/>
        <v>9209.5499999999993</v>
      </c>
      <c r="AH31" s="82"/>
      <c r="AI31" s="83">
        <f t="shared" si="13"/>
        <v>245</v>
      </c>
      <c r="AJ31" s="63">
        <v>3420.69</v>
      </c>
      <c r="AK31" s="82"/>
      <c r="AL31" s="83">
        <v>91</v>
      </c>
      <c r="AM31" s="63"/>
      <c r="AN31" s="82"/>
      <c r="AO31" s="83"/>
      <c r="AP31" s="63">
        <v>5788.86</v>
      </c>
      <c r="AQ31" s="82"/>
      <c r="AR31" s="83">
        <v>154</v>
      </c>
      <c r="AS31" s="82"/>
      <c r="AT31" s="82"/>
      <c r="AU31" s="83"/>
      <c r="AV31" s="63"/>
      <c r="AW31" s="82"/>
      <c r="AX31" s="83"/>
      <c r="AY31" s="63"/>
      <c r="AZ31" s="82"/>
      <c r="BA31" s="83"/>
      <c r="BB31" s="63"/>
      <c r="BC31" s="82"/>
      <c r="BD31" s="83"/>
      <c r="BE31" s="13"/>
      <c r="BF31" s="102"/>
      <c r="BG31" s="103"/>
      <c r="BH31" s="108"/>
      <c r="BI31" s="108"/>
      <c r="BJ31" s="108"/>
    </row>
    <row r="32" spans="2:62" s="1" customFormat="1" ht="15.75" thickBot="1" x14ac:dyDescent="0.3">
      <c r="B32" s="9"/>
      <c r="C32" s="14" t="s">
        <v>37</v>
      </c>
      <c r="D32" s="15"/>
      <c r="E32" s="9"/>
      <c r="F32" s="24">
        <f t="shared" si="19"/>
        <v>63081.19</v>
      </c>
      <c r="G32" s="47">
        <f t="shared" si="20"/>
        <v>0</v>
      </c>
      <c r="H32" s="47">
        <f t="shared" si="21"/>
        <v>1678</v>
      </c>
      <c r="I32" s="82">
        <f t="shared" si="16"/>
        <v>19439.2</v>
      </c>
      <c r="J32" s="82">
        <f t="shared" si="16"/>
        <v>0</v>
      </c>
      <c r="K32" s="83">
        <f t="shared" si="35"/>
        <v>517</v>
      </c>
      <c r="L32" s="63"/>
      <c r="M32" s="82"/>
      <c r="N32" s="83"/>
      <c r="O32" s="63">
        <v>13874.400000000001</v>
      </c>
      <c r="P32" s="82"/>
      <c r="Q32" s="83">
        <v>369</v>
      </c>
      <c r="R32" s="63">
        <v>5564.8</v>
      </c>
      <c r="S32" s="82"/>
      <c r="T32" s="83">
        <v>148</v>
      </c>
      <c r="U32" s="82">
        <f t="shared" si="42"/>
        <v>19396.440000000002</v>
      </c>
      <c r="V32" s="82">
        <f t="shared" si="42"/>
        <v>0</v>
      </c>
      <c r="W32" s="83">
        <f t="shared" si="36"/>
        <v>516</v>
      </c>
      <c r="X32" s="63">
        <v>5187.42</v>
      </c>
      <c r="Y32" s="82"/>
      <c r="Z32" s="83">
        <v>138</v>
      </c>
      <c r="AA32" s="63">
        <v>6315.1200000000008</v>
      </c>
      <c r="AB32" s="82"/>
      <c r="AC32" s="83">
        <v>168</v>
      </c>
      <c r="AD32" s="63">
        <v>7893.9000000000005</v>
      </c>
      <c r="AE32" s="82"/>
      <c r="AF32" s="83">
        <v>210</v>
      </c>
      <c r="AG32" s="82">
        <f t="shared" si="12"/>
        <v>24245.55</v>
      </c>
      <c r="AH32" s="82"/>
      <c r="AI32" s="83">
        <f t="shared" si="13"/>
        <v>645</v>
      </c>
      <c r="AJ32" s="63">
        <v>7668.36</v>
      </c>
      <c r="AK32" s="82"/>
      <c r="AL32" s="83">
        <v>204</v>
      </c>
      <c r="AM32" s="63"/>
      <c r="AN32" s="82"/>
      <c r="AO32" s="83"/>
      <c r="AP32" s="63">
        <v>16577.189999999999</v>
      </c>
      <c r="AQ32" s="82"/>
      <c r="AR32" s="83">
        <v>441</v>
      </c>
      <c r="AS32" s="82"/>
      <c r="AT32" s="82"/>
      <c r="AU32" s="83"/>
      <c r="AV32" s="63"/>
      <c r="AW32" s="82"/>
      <c r="AX32" s="83"/>
      <c r="AY32" s="63"/>
      <c r="AZ32" s="82"/>
      <c r="BA32" s="83"/>
      <c r="BB32" s="63"/>
      <c r="BC32" s="82"/>
      <c r="BD32" s="83"/>
      <c r="BE32" s="13"/>
      <c r="BF32" s="102"/>
      <c r="BG32" s="103"/>
      <c r="BH32" s="108"/>
      <c r="BI32" s="108"/>
      <c r="BJ32" s="108"/>
    </row>
    <row r="33" spans="2:62" s="1" customFormat="1" ht="57.75" customHeight="1" thickBot="1" x14ac:dyDescent="0.3">
      <c r="B33" s="18"/>
      <c r="C33" s="131" t="s">
        <v>104</v>
      </c>
      <c r="D33" s="20">
        <v>202000</v>
      </c>
      <c r="E33" s="50">
        <v>202000</v>
      </c>
      <c r="F33" s="56">
        <f t="shared" si="19"/>
        <v>215450</v>
      </c>
      <c r="G33" s="46">
        <f t="shared" si="20"/>
        <v>0</v>
      </c>
      <c r="H33" s="46">
        <f t="shared" si="21"/>
        <v>0</v>
      </c>
      <c r="I33" s="80">
        <f>L33+O33+R33</f>
        <v>51450</v>
      </c>
      <c r="J33" s="80">
        <f t="shared" si="16"/>
        <v>0</v>
      </c>
      <c r="K33" s="81">
        <f t="shared" si="35"/>
        <v>0</v>
      </c>
      <c r="L33" s="62">
        <v>3000</v>
      </c>
      <c r="M33" s="80"/>
      <c r="N33" s="81"/>
      <c r="O33" s="62">
        <v>31750</v>
      </c>
      <c r="P33" s="80"/>
      <c r="Q33" s="81"/>
      <c r="R33" s="62">
        <v>16700</v>
      </c>
      <c r="S33" s="80"/>
      <c r="T33" s="81"/>
      <c r="U33" s="80">
        <f t="shared" si="42"/>
        <v>50100</v>
      </c>
      <c r="V33" s="80">
        <f>Y33+AB33+AE33</f>
        <v>0</v>
      </c>
      <c r="W33" s="81">
        <f t="shared" si="36"/>
        <v>0</v>
      </c>
      <c r="X33" s="62">
        <v>16700</v>
      </c>
      <c r="Y33" s="80"/>
      <c r="Z33" s="81"/>
      <c r="AA33" s="62">
        <v>16700</v>
      </c>
      <c r="AB33" s="80"/>
      <c r="AC33" s="81"/>
      <c r="AD33" s="62">
        <v>16700</v>
      </c>
      <c r="AE33" s="80"/>
      <c r="AF33" s="81"/>
      <c r="AG33" s="80"/>
      <c r="AH33" s="80"/>
      <c r="AI33" s="81"/>
      <c r="AJ33" s="62">
        <v>16700</v>
      </c>
      <c r="AK33" s="80"/>
      <c r="AL33" s="81"/>
      <c r="AM33" s="62">
        <v>16700</v>
      </c>
      <c r="AN33" s="80"/>
      <c r="AO33" s="81"/>
      <c r="AP33" s="62">
        <v>16700</v>
      </c>
      <c r="AQ33" s="80"/>
      <c r="AR33" s="81"/>
      <c r="AS33" s="80"/>
      <c r="AT33" s="80"/>
      <c r="AU33" s="81"/>
      <c r="AV33" s="62">
        <v>16700</v>
      </c>
      <c r="AW33" s="80"/>
      <c r="AX33" s="81"/>
      <c r="AY33" s="62">
        <v>16700</v>
      </c>
      <c r="AZ33" s="80"/>
      <c r="BA33" s="81"/>
      <c r="BB33" s="62">
        <v>30400</v>
      </c>
      <c r="BC33" s="80"/>
      <c r="BD33" s="81"/>
      <c r="BE33" s="22"/>
      <c r="BF33" s="102"/>
      <c r="BG33" s="103"/>
      <c r="BH33" s="108"/>
      <c r="BI33" s="108"/>
      <c r="BJ33" s="108"/>
    </row>
    <row r="34" spans="2:62" s="1" customFormat="1" ht="35.25" customHeight="1" thickBot="1" x14ac:dyDescent="0.3">
      <c r="B34" s="18"/>
      <c r="C34" s="131" t="s">
        <v>103</v>
      </c>
      <c r="D34" s="20">
        <v>100000</v>
      </c>
      <c r="E34" s="50">
        <v>94900</v>
      </c>
      <c r="F34" s="56">
        <f t="shared" si="19"/>
        <v>94900</v>
      </c>
      <c r="G34" s="46"/>
      <c r="H34" s="46"/>
      <c r="I34" s="80"/>
      <c r="J34" s="80"/>
      <c r="K34" s="81"/>
      <c r="L34" s="62"/>
      <c r="M34" s="80"/>
      <c r="N34" s="81"/>
      <c r="O34" s="62"/>
      <c r="P34" s="80"/>
      <c r="Q34" s="81"/>
      <c r="R34" s="62">
        <v>0</v>
      </c>
      <c r="S34" s="80"/>
      <c r="T34" s="81"/>
      <c r="U34" s="80"/>
      <c r="V34" s="80"/>
      <c r="W34" s="81"/>
      <c r="X34" s="62"/>
      <c r="Y34" s="80"/>
      <c r="Z34" s="81"/>
      <c r="AA34" s="62"/>
      <c r="AB34" s="80"/>
      <c r="AC34" s="81"/>
      <c r="AD34" s="62"/>
      <c r="AE34" s="80"/>
      <c r="AF34" s="81"/>
      <c r="AG34" s="80"/>
      <c r="AH34" s="80"/>
      <c r="AI34" s="81"/>
      <c r="AJ34" s="62"/>
      <c r="AK34" s="80"/>
      <c r="AL34" s="81"/>
      <c r="AM34" s="62"/>
      <c r="AN34" s="80"/>
      <c r="AO34" s="81"/>
      <c r="AP34" s="62">
        <v>37700</v>
      </c>
      <c r="AQ34" s="80"/>
      <c r="AR34" s="81"/>
      <c r="AS34" s="80"/>
      <c r="AT34" s="80"/>
      <c r="AU34" s="81"/>
      <c r="AV34" s="132">
        <v>18900</v>
      </c>
      <c r="AW34" s="80"/>
      <c r="AX34" s="81"/>
      <c r="AY34" s="132"/>
      <c r="AZ34" s="80"/>
      <c r="BA34" s="81"/>
      <c r="BB34" s="132">
        <v>38300</v>
      </c>
      <c r="BC34" s="80"/>
      <c r="BD34" s="81"/>
      <c r="BE34" s="22"/>
      <c r="BF34" s="102"/>
      <c r="BG34" s="103"/>
      <c r="BH34" s="108"/>
      <c r="BI34" s="108"/>
      <c r="BJ34" s="108"/>
    </row>
    <row r="35" spans="2:62" s="1" customFormat="1" ht="35.25" customHeight="1" thickBot="1" x14ac:dyDescent="0.3">
      <c r="B35" s="110"/>
      <c r="C35" s="130" t="s">
        <v>102</v>
      </c>
      <c r="D35" s="20"/>
      <c r="E35" s="50">
        <v>322453</v>
      </c>
      <c r="F35" s="56">
        <f t="shared" si="19"/>
        <v>332011</v>
      </c>
      <c r="G35" s="111"/>
      <c r="H35" s="111"/>
      <c r="I35" s="112"/>
      <c r="J35" s="112"/>
      <c r="K35" s="113"/>
      <c r="L35" s="114"/>
      <c r="M35" s="112"/>
      <c r="N35" s="113"/>
      <c r="O35" s="114"/>
      <c r="P35" s="112"/>
      <c r="Q35" s="113"/>
      <c r="R35" s="114"/>
      <c r="S35" s="112"/>
      <c r="T35" s="113"/>
      <c r="U35" s="112"/>
      <c r="V35" s="112"/>
      <c r="W35" s="113"/>
      <c r="X35" s="114"/>
      <c r="Y35" s="112"/>
      <c r="Z35" s="113"/>
      <c r="AA35" s="114"/>
      <c r="AB35" s="112"/>
      <c r="AC35" s="113"/>
      <c r="AD35" s="114"/>
      <c r="AE35" s="112"/>
      <c r="AF35" s="113"/>
      <c r="AG35" s="112"/>
      <c r="AH35" s="112"/>
      <c r="AI35" s="113"/>
      <c r="AJ35" s="114"/>
      <c r="AK35" s="112"/>
      <c r="AL35" s="113"/>
      <c r="AM35" s="114"/>
      <c r="AN35" s="112"/>
      <c r="AO35" s="113"/>
      <c r="AP35" s="114"/>
      <c r="AQ35" s="112"/>
      <c r="AR35" s="113"/>
      <c r="AS35" s="112"/>
      <c r="AT35" s="112"/>
      <c r="AU35" s="113"/>
      <c r="AV35" s="133">
        <v>41178</v>
      </c>
      <c r="AW35" s="112"/>
      <c r="AX35" s="113"/>
      <c r="AY35" s="133">
        <v>115668</v>
      </c>
      <c r="AZ35" s="112"/>
      <c r="BA35" s="113"/>
      <c r="BB35" s="133">
        <f>69598+49934+49073+6560</f>
        <v>175165</v>
      </c>
      <c r="BC35" s="112"/>
      <c r="BD35" s="113"/>
      <c r="BE35" s="110"/>
      <c r="BF35" s="102"/>
      <c r="BG35" s="103"/>
      <c r="BH35" s="108"/>
      <c r="BI35" s="108"/>
      <c r="BJ35" s="108"/>
    </row>
    <row r="36" spans="2:62" ht="37.5" customHeight="1" thickBot="1" x14ac:dyDescent="0.3">
      <c r="B36" s="6" t="s">
        <v>63</v>
      </c>
      <c r="C36" s="6" t="s">
        <v>111</v>
      </c>
      <c r="D36" s="7">
        <f>SUM(D37:D42)</f>
        <v>22400000</v>
      </c>
      <c r="E36" s="49">
        <f>SUM(E37:E42)</f>
        <v>22565820</v>
      </c>
      <c r="F36" s="60">
        <f>L36+O36+R36+X36+AA36+AD36+AJ36+AM36+AP36+AV36+AY36+BB36</f>
        <v>22555880.399999999</v>
      </c>
      <c r="G36" s="48">
        <f t="shared" ref="G36:G56" si="48">M36+P36+S36+Y36+AB36+AE36+AK36+AN36+AQ36+AW36+AZ36+BC36</f>
        <v>0</v>
      </c>
      <c r="H36" s="48">
        <f t="shared" ref="H36:H56" si="49">N36+Q36+T36+Z36+AC36+AF36+AL36+AO36+AR36+AX36+BA36+BD36</f>
        <v>43880</v>
      </c>
      <c r="I36" s="76">
        <f t="shared" si="16"/>
        <v>2794467</v>
      </c>
      <c r="J36" s="76">
        <f>M36+P36+S36</f>
        <v>0</v>
      </c>
      <c r="K36" s="77">
        <f t="shared" si="35"/>
        <v>8766</v>
      </c>
      <c r="L36" s="75">
        <f>SUM(L37:L42)</f>
        <v>1207</v>
      </c>
      <c r="M36" s="76">
        <f t="shared" ref="M36:T36" si="50">SUM(M37:M42)</f>
        <v>0</v>
      </c>
      <c r="N36" s="77">
        <f t="shared" si="50"/>
        <v>0</v>
      </c>
      <c r="O36" s="75">
        <f>SUM(O37:O42)</f>
        <v>2785133</v>
      </c>
      <c r="P36" s="76">
        <f t="shared" si="50"/>
        <v>0</v>
      </c>
      <c r="Q36" s="77">
        <f t="shared" si="50"/>
        <v>639</v>
      </c>
      <c r="R36" s="75">
        <f>SUM(R37:R42)</f>
        <v>8127</v>
      </c>
      <c r="S36" s="76">
        <f t="shared" si="50"/>
        <v>0</v>
      </c>
      <c r="T36" s="77">
        <f t="shared" si="50"/>
        <v>8127</v>
      </c>
      <c r="U36" s="89">
        <f>X36+AA36+AD36</f>
        <v>5595422.2000000002</v>
      </c>
      <c r="V36" s="76">
        <f t="shared" ref="V36:AH36" si="51">SUM(V37:V41)</f>
        <v>0</v>
      </c>
      <c r="W36" s="77">
        <f t="shared" si="36"/>
        <v>32153</v>
      </c>
      <c r="X36" s="75">
        <f t="shared" si="51"/>
        <v>49502</v>
      </c>
      <c r="Y36" s="76">
        <f t="shared" si="51"/>
        <v>0</v>
      </c>
      <c r="Z36" s="77">
        <f t="shared" si="51"/>
        <v>14495</v>
      </c>
      <c r="AA36" s="75">
        <f>SUM(AA37:AA42)</f>
        <v>59602.5</v>
      </c>
      <c r="AB36" s="76">
        <f t="shared" si="51"/>
        <v>0</v>
      </c>
      <c r="AC36" s="77">
        <f t="shared" si="51"/>
        <v>4958</v>
      </c>
      <c r="AD36" s="75">
        <f t="shared" si="51"/>
        <v>5486317.7000000002</v>
      </c>
      <c r="AE36" s="76">
        <f t="shared" si="51"/>
        <v>0</v>
      </c>
      <c r="AF36" s="77">
        <f t="shared" si="51"/>
        <v>12700</v>
      </c>
      <c r="AG36" s="89">
        <f>AJ36+AM36+AP36</f>
        <v>1605122.25</v>
      </c>
      <c r="AH36" s="76">
        <f t="shared" si="51"/>
        <v>0</v>
      </c>
      <c r="AI36" s="77">
        <f t="shared" si="13"/>
        <v>2961</v>
      </c>
      <c r="AJ36" s="75">
        <f>SUM(AJ37:AJ42)</f>
        <v>157055.24999999997</v>
      </c>
      <c r="AK36" s="76">
        <f t="shared" ref="AK36:AL36" si="52">SUM(AK37:AK42)</f>
        <v>0</v>
      </c>
      <c r="AL36" s="77">
        <f t="shared" si="52"/>
        <v>2349</v>
      </c>
      <c r="AM36" s="75">
        <f>SUM(AM37:AM41)</f>
        <v>1655</v>
      </c>
      <c r="AN36" s="76"/>
      <c r="AO36" s="77"/>
      <c r="AP36" s="75">
        <f>SUM(AP37:AP41)</f>
        <v>1446412</v>
      </c>
      <c r="AQ36" s="76">
        <f t="shared" ref="AQ36:AR36" si="53">SUM(AQ37:AQ41)</f>
        <v>0</v>
      </c>
      <c r="AR36" s="77">
        <f t="shared" si="53"/>
        <v>612</v>
      </c>
      <c r="AS36" s="76">
        <f>AV36+AY36+BB36</f>
        <v>12560868.949999999</v>
      </c>
      <c r="AT36" s="76">
        <f t="shared" ref="AT36:AU42" si="54">AW36+AZ36+BC36</f>
        <v>0</v>
      </c>
      <c r="AU36" s="77">
        <f t="shared" si="54"/>
        <v>0</v>
      </c>
      <c r="AV36" s="75">
        <f>SUM(AV37:AV42)</f>
        <v>503</v>
      </c>
      <c r="AW36" s="76">
        <f t="shared" ref="AW36:BD36" si="55">SUM(AW37:AW42)</f>
        <v>0</v>
      </c>
      <c r="AX36" s="77">
        <f t="shared" si="55"/>
        <v>0</v>
      </c>
      <c r="AY36" s="75">
        <f t="shared" si="55"/>
        <v>3073239.71</v>
      </c>
      <c r="AZ36" s="76">
        <f t="shared" si="55"/>
        <v>0</v>
      </c>
      <c r="BA36" s="77">
        <f t="shared" si="55"/>
        <v>0</v>
      </c>
      <c r="BB36" s="75">
        <f t="shared" si="55"/>
        <v>9487126.2400000002</v>
      </c>
      <c r="BC36" s="76">
        <f t="shared" si="55"/>
        <v>0</v>
      </c>
      <c r="BD36" s="77">
        <f t="shared" si="55"/>
        <v>0</v>
      </c>
      <c r="BE36" s="8">
        <f t="shared" ref="BE36" si="56">SUM(BE37:BE41)</f>
        <v>0</v>
      </c>
      <c r="BF36" s="102">
        <v>10146794.890000001</v>
      </c>
      <c r="BG36" s="103">
        <f>I36+U36</f>
        <v>8389889.1999999993</v>
      </c>
      <c r="BH36" s="108">
        <f>(BG36+AG36)-BF36</f>
        <v>-151783.44000000134</v>
      </c>
      <c r="BI36" s="108">
        <v>0</v>
      </c>
      <c r="BJ36" s="108"/>
    </row>
    <row r="37" spans="2:62" s="1" customFormat="1" x14ac:dyDescent="0.25">
      <c r="B37" s="9"/>
      <c r="C37" s="14" t="s">
        <v>101</v>
      </c>
      <c r="D37" s="11">
        <v>16410000</v>
      </c>
      <c r="E37" s="24">
        <v>12399100</v>
      </c>
      <c r="F37" s="24">
        <f t="shared" ref="F37:F56" si="57">L37+O37+R37+X37+AA37+AD37+AJ37+AM37+AP37+AV37+AY37+BB37</f>
        <v>12399092.210000001</v>
      </c>
      <c r="G37" s="47">
        <f t="shared" si="48"/>
        <v>0</v>
      </c>
      <c r="H37" s="47">
        <f t="shared" si="49"/>
        <v>0</v>
      </c>
      <c r="I37" s="82">
        <f t="shared" si="16"/>
        <v>2761814</v>
      </c>
      <c r="J37" s="82">
        <f>M37+P37+S37</f>
        <v>0</v>
      </c>
      <c r="K37" s="83">
        <f t="shared" si="35"/>
        <v>0</v>
      </c>
      <c r="L37" s="63"/>
      <c r="M37" s="82"/>
      <c r="N37" s="83"/>
      <c r="O37" s="63">
        <v>2761814</v>
      </c>
      <c r="P37" s="82"/>
      <c r="Q37" s="83">
        <v>0</v>
      </c>
      <c r="R37" s="63">
        <v>0</v>
      </c>
      <c r="S37" s="82"/>
      <c r="T37" s="83">
        <v>0</v>
      </c>
      <c r="U37" s="82">
        <f>X37+AA37+AD37</f>
        <v>0</v>
      </c>
      <c r="V37" s="82">
        <f>Y37+AB37+AE37</f>
        <v>0</v>
      </c>
      <c r="W37" s="83">
        <f t="shared" si="36"/>
        <v>0</v>
      </c>
      <c r="X37" s="63">
        <v>0</v>
      </c>
      <c r="Y37" s="82"/>
      <c r="Z37" s="83">
        <v>0</v>
      </c>
      <c r="AA37" s="63"/>
      <c r="AB37" s="82"/>
      <c r="AC37" s="83"/>
      <c r="AD37" s="63"/>
      <c r="AE37" s="82"/>
      <c r="AF37" s="83"/>
      <c r="AG37" s="82">
        <f>AJ37+AM37+AP37</f>
        <v>-151782.48000000001</v>
      </c>
      <c r="AH37" s="82">
        <f t="shared" ref="AH37:AH42" si="58">AK37+AN37+AQ37</f>
        <v>0</v>
      </c>
      <c r="AI37" s="83">
        <f t="shared" si="13"/>
        <v>0</v>
      </c>
      <c r="AJ37" s="63">
        <f>-3698.67-148084.77+0.96</f>
        <v>-151782.48000000001</v>
      </c>
      <c r="AK37" s="92"/>
      <c r="AL37" s="83"/>
      <c r="AM37" s="63"/>
      <c r="AN37" s="82"/>
      <c r="AO37" s="83"/>
      <c r="AP37" s="63"/>
      <c r="AQ37" s="82"/>
      <c r="AR37" s="83"/>
      <c r="AS37" s="82">
        <f>AV37+AY37+BB37</f>
        <v>9789060.6900000013</v>
      </c>
      <c r="AT37" s="82">
        <f t="shared" si="54"/>
        <v>0</v>
      </c>
      <c r="AU37" s="83">
        <f t="shared" si="54"/>
        <v>0</v>
      </c>
      <c r="AV37" s="63"/>
      <c r="AW37" s="82"/>
      <c r="AX37" s="83"/>
      <c r="AY37" s="91">
        <f>2900804.85+171505.86</f>
        <v>3072310.71</v>
      </c>
      <c r="AZ37" s="82"/>
      <c r="BA37" s="83"/>
      <c r="BB37" s="63">
        <f>1823000+4893749.98</f>
        <v>6716749.9800000004</v>
      </c>
      <c r="BC37" s="82"/>
      <c r="BD37" s="83"/>
      <c r="BE37" s="16"/>
      <c r="BF37" s="102"/>
      <c r="BG37" s="103"/>
      <c r="BH37" s="108"/>
      <c r="BI37" s="108"/>
      <c r="BJ37" s="108"/>
    </row>
    <row r="38" spans="2:62" s="1" customFormat="1" x14ac:dyDescent="0.25">
      <c r="B38" s="9"/>
      <c r="C38" s="14" t="s">
        <v>100</v>
      </c>
      <c r="D38" s="11">
        <v>160000</v>
      </c>
      <c r="E38" s="24">
        <v>155440</v>
      </c>
      <c r="F38" s="24">
        <f t="shared" si="57"/>
        <v>155115</v>
      </c>
      <c r="G38" s="47">
        <f t="shared" si="48"/>
        <v>0</v>
      </c>
      <c r="H38" s="47">
        <f t="shared" si="49"/>
        <v>0</v>
      </c>
      <c r="I38" s="82">
        <f t="shared" si="16"/>
        <v>0</v>
      </c>
      <c r="J38" s="82">
        <f t="shared" si="16"/>
        <v>0</v>
      </c>
      <c r="K38" s="83">
        <f t="shared" si="16"/>
        <v>0</v>
      </c>
      <c r="L38" s="63"/>
      <c r="M38" s="82"/>
      <c r="N38" s="83"/>
      <c r="O38" s="63">
        <v>0</v>
      </c>
      <c r="P38" s="82"/>
      <c r="Q38" s="83">
        <v>0</v>
      </c>
      <c r="R38" s="63">
        <v>0</v>
      </c>
      <c r="S38" s="82"/>
      <c r="T38" s="83">
        <v>0</v>
      </c>
      <c r="U38" s="82">
        <f>X38+AA38+AD38</f>
        <v>34500</v>
      </c>
      <c r="V38" s="82">
        <f t="shared" ref="V38:W54" si="59">Y38+AB38+AE38</f>
        <v>0</v>
      </c>
      <c r="W38" s="83">
        <f t="shared" si="59"/>
        <v>0</v>
      </c>
      <c r="X38" s="63">
        <v>34500</v>
      </c>
      <c r="Y38" s="82"/>
      <c r="Z38" s="83"/>
      <c r="AA38" s="63"/>
      <c r="AB38" s="82"/>
      <c r="AC38" s="83"/>
      <c r="AD38" s="63"/>
      <c r="AE38" s="82"/>
      <c r="AF38" s="83"/>
      <c r="AG38" s="82">
        <f t="shared" ref="AG38:AG42" si="60">AJ38+AM38+AP38</f>
        <v>48255</v>
      </c>
      <c r="AH38" s="82">
        <f t="shared" si="58"/>
        <v>0</v>
      </c>
      <c r="AI38" s="83">
        <f t="shared" si="13"/>
        <v>0</v>
      </c>
      <c r="AJ38" s="63">
        <v>40455</v>
      </c>
      <c r="AK38" s="82"/>
      <c r="AL38" s="83"/>
      <c r="AM38" s="63"/>
      <c r="AN38" s="82"/>
      <c r="AO38" s="83"/>
      <c r="AP38" s="63">
        <v>7800</v>
      </c>
      <c r="AQ38" s="82"/>
      <c r="AR38" s="83"/>
      <c r="AS38" s="82">
        <f t="shared" ref="AS38:AS42" si="61">AV38+AY38+BB38</f>
        <v>72360</v>
      </c>
      <c r="AT38" s="82">
        <f t="shared" si="54"/>
        <v>0</v>
      </c>
      <c r="AU38" s="83">
        <f t="shared" si="54"/>
        <v>0</v>
      </c>
      <c r="AV38" s="63"/>
      <c r="AW38" s="82"/>
      <c r="AX38" s="83"/>
      <c r="AY38" s="63"/>
      <c r="AZ38" s="82"/>
      <c r="BA38" s="83"/>
      <c r="BB38" s="63">
        <v>72360</v>
      </c>
      <c r="BC38" s="82"/>
      <c r="BD38" s="83"/>
      <c r="BE38" s="16"/>
      <c r="BF38" s="102"/>
      <c r="BG38" s="103"/>
      <c r="BH38" s="108"/>
      <c r="BI38" s="108"/>
      <c r="BJ38" s="108"/>
    </row>
    <row r="39" spans="2:62" s="1" customFormat="1" x14ac:dyDescent="0.25">
      <c r="B39" s="9"/>
      <c r="C39" s="14" t="s">
        <v>99</v>
      </c>
      <c r="D39" s="11">
        <v>4020000</v>
      </c>
      <c r="E39" s="24">
        <v>8445280</v>
      </c>
      <c r="F39" s="24">
        <f t="shared" si="57"/>
        <v>8437265.1899999995</v>
      </c>
      <c r="G39" s="47">
        <f t="shared" si="48"/>
        <v>0</v>
      </c>
      <c r="H39" s="47">
        <f t="shared" si="49"/>
        <v>0</v>
      </c>
      <c r="I39" s="82">
        <f t="shared" si="16"/>
        <v>0</v>
      </c>
      <c r="J39" s="82">
        <f t="shared" si="16"/>
        <v>0</v>
      </c>
      <c r="K39" s="83">
        <f t="shared" si="16"/>
        <v>0</v>
      </c>
      <c r="L39" s="63"/>
      <c r="M39" s="92"/>
      <c r="N39" s="83"/>
      <c r="O39" s="63">
        <v>0</v>
      </c>
      <c r="P39" s="82"/>
      <c r="Q39" s="83">
        <v>0</v>
      </c>
      <c r="R39" s="63">
        <v>0</v>
      </c>
      <c r="S39" s="82"/>
      <c r="T39" s="83">
        <v>0</v>
      </c>
      <c r="U39" s="82">
        <f>X39+AA39+AD39</f>
        <v>5473601.2000000002</v>
      </c>
      <c r="V39" s="82">
        <f t="shared" si="59"/>
        <v>0</v>
      </c>
      <c r="W39" s="83">
        <f t="shared" si="59"/>
        <v>0</v>
      </c>
      <c r="X39" s="63"/>
      <c r="Y39" s="82"/>
      <c r="Z39" s="83"/>
      <c r="AA39" s="63"/>
      <c r="AB39" s="82"/>
      <c r="AC39" s="83"/>
      <c r="AD39" s="63">
        <f>5528213.16-54611.96</f>
        <v>5473601.2000000002</v>
      </c>
      <c r="AE39" s="82"/>
      <c r="AF39" s="83"/>
      <c r="AG39" s="82">
        <f t="shared" si="60"/>
        <v>266033.73</v>
      </c>
      <c r="AH39" s="82">
        <f t="shared" si="58"/>
        <v>0</v>
      </c>
      <c r="AI39" s="83">
        <f t="shared" si="13"/>
        <v>0</v>
      </c>
      <c r="AJ39" s="63">
        <v>266033.73</v>
      </c>
      <c r="AK39" s="82"/>
      <c r="AL39" s="83"/>
      <c r="AM39" s="63"/>
      <c r="AN39" s="82"/>
      <c r="AO39" s="83"/>
      <c r="AP39" s="63"/>
      <c r="AQ39" s="82"/>
      <c r="AR39" s="83"/>
      <c r="AS39" s="82">
        <f t="shared" si="61"/>
        <v>2697630.26</v>
      </c>
      <c r="AT39" s="82">
        <f t="shared" si="54"/>
        <v>0</v>
      </c>
      <c r="AU39" s="83">
        <f t="shared" si="54"/>
        <v>0</v>
      </c>
      <c r="AV39" s="63"/>
      <c r="AW39" s="82"/>
      <c r="AX39" s="83"/>
      <c r="AY39" s="63"/>
      <c r="AZ39" s="82"/>
      <c r="BA39" s="83"/>
      <c r="BB39" s="63">
        <f>133906+2563724.26</f>
        <v>2697630.26</v>
      </c>
      <c r="BC39" s="82"/>
      <c r="BD39" s="83"/>
      <c r="BE39" s="16"/>
      <c r="BF39" s="102"/>
      <c r="BG39" s="103"/>
      <c r="BH39" s="108"/>
      <c r="BI39" s="108"/>
      <c r="BJ39" s="108"/>
    </row>
    <row r="40" spans="2:62" s="1" customFormat="1" x14ac:dyDescent="0.25">
      <c r="B40" s="9"/>
      <c r="C40" s="14" t="s">
        <v>98</v>
      </c>
      <c r="D40" s="11">
        <v>1280000</v>
      </c>
      <c r="E40" s="24">
        <v>1461000</v>
      </c>
      <c r="F40" s="24">
        <f t="shared" si="57"/>
        <v>1460680</v>
      </c>
      <c r="G40" s="47">
        <f t="shared" si="48"/>
        <v>0</v>
      </c>
      <c r="H40" s="47">
        <f t="shared" si="49"/>
        <v>0</v>
      </c>
      <c r="I40" s="82">
        <f t="shared" si="16"/>
        <v>22680</v>
      </c>
      <c r="J40" s="82">
        <f t="shared" si="16"/>
        <v>0</v>
      </c>
      <c r="K40" s="83">
        <f t="shared" si="16"/>
        <v>0</v>
      </c>
      <c r="L40" s="63"/>
      <c r="M40" s="82"/>
      <c r="N40" s="83"/>
      <c r="O40" s="63">
        <v>22680</v>
      </c>
      <c r="P40" s="82"/>
      <c r="Q40" s="83">
        <v>0</v>
      </c>
      <c r="R40" s="63">
        <v>0</v>
      </c>
      <c r="S40" s="82"/>
      <c r="T40" s="83">
        <v>0</v>
      </c>
      <c r="U40" s="82">
        <f t="shared" ref="U40:U42" si="62">X40+AA40+AD40</f>
        <v>0</v>
      </c>
      <c r="V40" s="82">
        <f t="shared" si="59"/>
        <v>0</v>
      </c>
      <c r="W40" s="83">
        <f t="shared" si="59"/>
        <v>0</v>
      </c>
      <c r="X40" s="63">
        <v>0</v>
      </c>
      <c r="Y40" s="82"/>
      <c r="Z40" s="83"/>
      <c r="AA40" s="63"/>
      <c r="AB40" s="82"/>
      <c r="AC40" s="83"/>
      <c r="AD40" s="63"/>
      <c r="AE40" s="82"/>
      <c r="AF40" s="83"/>
      <c r="AG40" s="82">
        <f t="shared" si="60"/>
        <v>1438000</v>
      </c>
      <c r="AH40" s="82">
        <f t="shared" si="58"/>
        <v>0</v>
      </c>
      <c r="AI40" s="83">
        <f t="shared" si="13"/>
        <v>0</v>
      </c>
      <c r="AJ40" s="63"/>
      <c r="AK40" s="82"/>
      <c r="AL40" s="83"/>
      <c r="AM40" s="63"/>
      <c r="AN40" s="82"/>
      <c r="AO40" s="83"/>
      <c r="AP40" s="63">
        <v>1438000</v>
      </c>
      <c r="AQ40" s="82"/>
      <c r="AR40" s="83"/>
      <c r="AS40" s="82">
        <f t="shared" si="61"/>
        <v>0</v>
      </c>
      <c r="AT40" s="82">
        <f t="shared" si="54"/>
        <v>0</v>
      </c>
      <c r="AU40" s="83">
        <f t="shared" si="54"/>
        <v>0</v>
      </c>
      <c r="AV40" s="63"/>
      <c r="AW40" s="82"/>
      <c r="AX40" s="83"/>
      <c r="AY40" s="63"/>
      <c r="AZ40" s="82"/>
      <c r="BA40" s="83"/>
      <c r="BB40" s="63"/>
      <c r="BC40" s="82"/>
      <c r="BD40" s="83"/>
      <c r="BE40" s="16"/>
      <c r="BF40" s="102"/>
      <c r="BG40" s="103"/>
      <c r="BH40" s="108"/>
      <c r="BI40" s="108"/>
      <c r="BJ40" s="108"/>
    </row>
    <row r="41" spans="2:62" s="1" customFormat="1" x14ac:dyDescent="0.25">
      <c r="B41" s="9"/>
      <c r="C41" s="14" t="s">
        <v>97</v>
      </c>
      <c r="D41" s="11">
        <v>30000</v>
      </c>
      <c r="E41" s="24">
        <v>50000</v>
      </c>
      <c r="F41" s="24">
        <f t="shared" si="57"/>
        <v>49117</v>
      </c>
      <c r="G41" s="47">
        <f t="shared" si="48"/>
        <v>0</v>
      </c>
      <c r="H41" s="47">
        <f t="shared" si="49"/>
        <v>45535</v>
      </c>
      <c r="I41" s="82">
        <f t="shared" si="16"/>
        <v>9973</v>
      </c>
      <c r="J41" s="82">
        <f t="shared" si="16"/>
        <v>0</v>
      </c>
      <c r="K41" s="83">
        <f t="shared" si="16"/>
        <v>8766</v>
      </c>
      <c r="L41" s="63">
        <v>1207</v>
      </c>
      <c r="M41" s="82"/>
      <c r="N41" s="83"/>
      <c r="O41" s="63">
        <v>639</v>
      </c>
      <c r="P41" s="82"/>
      <c r="Q41" s="83">
        <v>639</v>
      </c>
      <c r="R41" s="63">
        <v>8127</v>
      </c>
      <c r="S41" s="82"/>
      <c r="T41" s="83">
        <v>8127</v>
      </c>
      <c r="U41" s="82">
        <f t="shared" si="62"/>
        <v>32710</v>
      </c>
      <c r="V41" s="82">
        <f t="shared" si="59"/>
        <v>0</v>
      </c>
      <c r="W41" s="83">
        <f t="shared" si="59"/>
        <v>32153</v>
      </c>
      <c r="X41" s="63">
        <v>15002</v>
      </c>
      <c r="Y41" s="82"/>
      <c r="Z41" s="83">
        <v>14495</v>
      </c>
      <c r="AA41" s="63">
        <v>4991.5</v>
      </c>
      <c r="AB41" s="82"/>
      <c r="AC41" s="83">
        <v>4958</v>
      </c>
      <c r="AD41" s="63">
        <v>12716.5</v>
      </c>
      <c r="AE41" s="82"/>
      <c r="AF41" s="83">
        <v>12700</v>
      </c>
      <c r="AG41" s="82">
        <f t="shared" si="60"/>
        <v>4616</v>
      </c>
      <c r="AH41" s="82">
        <f t="shared" si="58"/>
        <v>0</v>
      </c>
      <c r="AI41" s="83">
        <f t="shared" si="13"/>
        <v>4616</v>
      </c>
      <c r="AJ41" s="63">
        <v>2349</v>
      </c>
      <c r="AK41" s="82"/>
      <c r="AL41" s="83">
        <v>2349</v>
      </c>
      <c r="AM41" s="63">
        <v>1655</v>
      </c>
      <c r="AN41" s="82"/>
      <c r="AO41" s="83">
        <v>1655</v>
      </c>
      <c r="AP41" s="63">
        <v>612</v>
      </c>
      <c r="AQ41" s="82"/>
      <c r="AR41" s="83">
        <v>612</v>
      </c>
      <c r="AS41" s="82">
        <f t="shared" si="61"/>
        <v>1818</v>
      </c>
      <c r="AT41" s="82">
        <f t="shared" si="54"/>
        <v>0</v>
      </c>
      <c r="AU41" s="83">
        <f t="shared" si="54"/>
        <v>0</v>
      </c>
      <c r="AV41" s="63">
        <v>503</v>
      </c>
      <c r="AW41" s="82"/>
      <c r="AX41" s="83"/>
      <c r="AY41" s="63">
        <v>929</v>
      </c>
      <c r="AZ41" s="82"/>
      <c r="BA41" s="83"/>
      <c r="BB41" s="63">
        <v>386</v>
      </c>
      <c r="BC41" s="82"/>
      <c r="BD41" s="83"/>
      <c r="BE41" s="16"/>
      <c r="BF41" s="102"/>
      <c r="BG41" s="103"/>
      <c r="BH41" s="108"/>
      <c r="BI41" s="108"/>
      <c r="BJ41" s="108"/>
    </row>
    <row r="42" spans="2:62" s="1" customFormat="1" ht="15.75" thickBot="1" x14ac:dyDescent="0.3">
      <c r="B42" s="9"/>
      <c r="C42" s="14" t="s">
        <v>96</v>
      </c>
      <c r="D42" s="11">
        <v>500000</v>
      </c>
      <c r="E42" s="24">
        <v>55000</v>
      </c>
      <c r="F42" s="24">
        <f t="shared" si="57"/>
        <v>54611</v>
      </c>
      <c r="G42" s="47">
        <f t="shared" si="48"/>
        <v>0</v>
      </c>
      <c r="H42" s="47">
        <f t="shared" si="49"/>
        <v>0</v>
      </c>
      <c r="I42" s="82">
        <f t="shared" si="16"/>
        <v>0</v>
      </c>
      <c r="J42" s="82">
        <f t="shared" si="16"/>
        <v>0</v>
      </c>
      <c r="K42" s="83">
        <f t="shared" si="16"/>
        <v>0</v>
      </c>
      <c r="L42" s="63"/>
      <c r="M42" s="82"/>
      <c r="N42" s="83"/>
      <c r="O42" s="63">
        <v>0</v>
      </c>
      <c r="P42" s="82"/>
      <c r="Q42" s="83">
        <v>0</v>
      </c>
      <c r="R42" s="63">
        <v>0</v>
      </c>
      <c r="S42" s="82"/>
      <c r="T42" s="83">
        <v>0</v>
      </c>
      <c r="U42" s="82">
        <f t="shared" si="62"/>
        <v>54611</v>
      </c>
      <c r="V42" s="82">
        <f t="shared" si="59"/>
        <v>0</v>
      </c>
      <c r="W42" s="83">
        <f t="shared" si="59"/>
        <v>0</v>
      </c>
      <c r="X42" s="63"/>
      <c r="Y42" s="82"/>
      <c r="Z42" s="83"/>
      <c r="AA42" s="63">
        <v>54611</v>
      </c>
      <c r="AB42" s="82"/>
      <c r="AC42" s="83"/>
      <c r="AD42" s="63"/>
      <c r="AE42" s="82"/>
      <c r="AF42" s="83"/>
      <c r="AG42" s="82">
        <f t="shared" si="60"/>
        <v>0</v>
      </c>
      <c r="AH42" s="82">
        <f t="shared" si="58"/>
        <v>0</v>
      </c>
      <c r="AI42" s="83">
        <f t="shared" si="13"/>
        <v>0</v>
      </c>
      <c r="AJ42" s="63"/>
      <c r="AK42" s="82"/>
      <c r="AL42" s="83"/>
      <c r="AM42" s="63"/>
      <c r="AN42" s="82"/>
      <c r="AO42" s="83"/>
      <c r="AP42" s="63"/>
      <c r="AQ42" s="82"/>
      <c r="AR42" s="83"/>
      <c r="AS42" s="82">
        <f t="shared" si="61"/>
        <v>0</v>
      </c>
      <c r="AT42" s="82">
        <f t="shared" si="54"/>
        <v>0</v>
      </c>
      <c r="AU42" s="83">
        <f t="shared" si="54"/>
        <v>0</v>
      </c>
      <c r="AV42" s="63"/>
      <c r="AW42" s="82"/>
      <c r="AX42" s="83"/>
      <c r="AY42" s="63"/>
      <c r="AZ42" s="82"/>
      <c r="BA42" s="83"/>
      <c r="BB42" s="63"/>
      <c r="BC42" s="82"/>
      <c r="BD42" s="83"/>
      <c r="BE42" s="16"/>
      <c r="BF42" s="102"/>
      <c r="BG42" s="103"/>
      <c r="BH42" s="108"/>
      <c r="BI42" s="108"/>
      <c r="BJ42" s="108"/>
    </row>
    <row r="43" spans="2:62" ht="37.5" customHeight="1" thickBot="1" x14ac:dyDescent="0.3">
      <c r="B43" s="6" t="s">
        <v>64</v>
      </c>
      <c r="C43" s="6" t="s">
        <v>112</v>
      </c>
      <c r="D43" s="7">
        <f>SUM(D44:D48)</f>
        <v>1700000</v>
      </c>
      <c r="E43" s="49">
        <f>SUM(E44:E48)</f>
        <v>1737000</v>
      </c>
      <c r="F43" s="60">
        <f t="shared" si="57"/>
        <v>1702907.7699999998</v>
      </c>
      <c r="G43" s="48">
        <f t="shared" si="48"/>
        <v>0</v>
      </c>
      <c r="H43" s="48">
        <f t="shared" si="49"/>
        <v>1285</v>
      </c>
      <c r="I43" s="76">
        <f>L43+O43+R43</f>
        <v>150555.79</v>
      </c>
      <c r="J43" s="76">
        <f>M43+P43+S43</f>
        <v>0</v>
      </c>
      <c r="K43" s="77">
        <f>N43+Q43+T43</f>
        <v>435.99999999999989</v>
      </c>
      <c r="L43" s="75">
        <f>SUM(L44:L48)</f>
        <v>15533.6</v>
      </c>
      <c r="M43" s="76">
        <f t="shared" ref="M43:T43" si="63">SUM(M44:M48)</f>
        <v>0</v>
      </c>
      <c r="N43" s="77">
        <f t="shared" si="63"/>
        <v>10</v>
      </c>
      <c r="O43" s="75">
        <f t="shared" si="63"/>
        <v>40370.83</v>
      </c>
      <c r="P43" s="76">
        <f t="shared" si="63"/>
        <v>0</v>
      </c>
      <c r="Q43" s="77">
        <f t="shared" si="63"/>
        <v>146</v>
      </c>
      <c r="R43" s="75">
        <f t="shared" si="63"/>
        <v>94651.36</v>
      </c>
      <c r="S43" s="76">
        <f t="shared" si="63"/>
        <v>0</v>
      </c>
      <c r="T43" s="77">
        <f t="shared" si="63"/>
        <v>279.99999999999989</v>
      </c>
      <c r="U43" s="76">
        <f>X43+AA43+AD43</f>
        <v>957982.9099999998</v>
      </c>
      <c r="V43" s="76"/>
      <c r="W43" s="77">
        <f t="shared" si="59"/>
        <v>526</v>
      </c>
      <c r="X43" s="75">
        <f>SUM(X44:X48)</f>
        <v>30484.89</v>
      </c>
      <c r="Y43" s="76">
        <f t="shared" ref="Y43:AF43" si="64">SUM(Y44:Y48)</f>
        <v>0</v>
      </c>
      <c r="Z43" s="77">
        <f t="shared" si="64"/>
        <v>108</v>
      </c>
      <c r="AA43" s="75">
        <f t="shared" si="64"/>
        <v>848953.0299999998</v>
      </c>
      <c r="AB43" s="76">
        <f t="shared" si="64"/>
        <v>0</v>
      </c>
      <c r="AC43" s="77">
        <f t="shared" si="64"/>
        <v>239</v>
      </c>
      <c r="AD43" s="75">
        <f>SUM(AD44:AD48)</f>
        <v>78544.989999999991</v>
      </c>
      <c r="AE43" s="76">
        <f t="shared" si="64"/>
        <v>0</v>
      </c>
      <c r="AF43" s="77">
        <f t="shared" si="64"/>
        <v>179</v>
      </c>
      <c r="AG43" s="76">
        <f t="shared" si="12"/>
        <v>238646.86000000022</v>
      </c>
      <c r="AH43" s="76">
        <f>Y43+AB43+AE43</f>
        <v>0</v>
      </c>
      <c r="AI43" s="77">
        <f t="shared" si="13"/>
        <v>323</v>
      </c>
      <c r="AJ43" s="75">
        <f t="shared" ref="AJ43" si="65">SUM(AJ44:AJ48)</f>
        <v>32670.199999999997</v>
      </c>
      <c r="AK43" s="76"/>
      <c r="AL43" s="77">
        <f t="shared" ref="AL43:AM43" si="66">SUM(AL44:AL48)</f>
        <v>166</v>
      </c>
      <c r="AM43" s="75">
        <f t="shared" si="66"/>
        <v>92594.3400000002</v>
      </c>
      <c r="AN43" s="76"/>
      <c r="AO43" s="77">
        <f t="shared" ref="AO43" si="67">SUM(AO44:AO48)</f>
        <v>157</v>
      </c>
      <c r="AP43" s="75">
        <f>SUM(AP44:AP48)</f>
        <v>113382.32</v>
      </c>
      <c r="AQ43" s="76"/>
      <c r="AR43" s="77"/>
      <c r="AS43" s="76">
        <f>AV43+AY43+BB43</f>
        <v>355722.21</v>
      </c>
      <c r="AT43" s="76">
        <f>AK43+AN43+AQ43</f>
        <v>0</v>
      </c>
      <c r="AU43" s="77">
        <f t="shared" si="15"/>
        <v>0</v>
      </c>
      <c r="AV43" s="75">
        <f>SUM(AV44:AV48)</f>
        <v>163615.19</v>
      </c>
      <c r="AW43" s="76">
        <f t="shared" ref="AW43:BD43" si="68">SUM(AW44:AW48)</f>
        <v>0</v>
      </c>
      <c r="AX43" s="77">
        <f t="shared" si="68"/>
        <v>0</v>
      </c>
      <c r="AY43" s="75">
        <f t="shared" si="68"/>
        <v>53497.710000000006</v>
      </c>
      <c r="AZ43" s="76">
        <f t="shared" si="68"/>
        <v>0</v>
      </c>
      <c r="BA43" s="77">
        <f t="shared" si="68"/>
        <v>0</v>
      </c>
      <c r="BB43" s="75">
        <f t="shared" si="68"/>
        <v>138609.31</v>
      </c>
      <c r="BC43" s="76">
        <f t="shared" si="68"/>
        <v>0</v>
      </c>
      <c r="BD43" s="77">
        <f t="shared" si="68"/>
        <v>0</v>
      </c>
      <c r="BE43" s="8"/>
      <c r="BF43" s="102">
        <v>1341447.77</v>
      </c>
      <c r="BG43" s="103">
        <f>I43+U43</f>
        <v>1108538.6999999997</v>
      </c>
      <c r="BH43" s="108">
        <f>(BG43+AG43)-BF43</f>
        <v>5737.7900000000373</v>
      </c>
      <c r="BI43" s="108">
        <v>4317.7899999997999</v>
      </c>
      <c r="BJ43" s="108"/>
    </row>
    <row r="44" spans="2:62" s="1" customFormat="1" ht="49.5" customHeight="1" x14ac:dyDescent="0.25">
      <c r="B44" s="9"/>
      <c r="C44" s="67" t="s">
        <v>91</v>
      </c>
      <c r="D44" s="68">
        <v>553500</v>
      </c>
      <c r="E44" s="69">
        <v>553500</v>
      </c>
      <c r="F44" s="69">
        <f t="shared" si="57"/>
        <v>548643.12000000023</v>
      </c>
      <c r="G44" s="70">
        <f t="shared" si="48"/>
        <v>0</v>
      </c>
      <c r="H44" s="70">
        <f t="shared" si="49"/>
        <v>0</v>
      </c>
      <c r="I44" s="117">
        <f t="shared" si="16"/>
        <v>137057.79999999999</v>
      </c>
      <c r="J44" s="84">
        <f>M44+P44+S44</f>
        <v>0</v>
      </c>
      <c r="K44" s="85">
        <f t="shared" si="16"/>
        <v>0</v>
      </c>
      <c r="L44" s="71">
        <v>12419.5</v>
      </c>
      <c r="M44" s="84"/>
      <c r="N44" s="85"/>
      <c r="O44" s="71">
        <v>39011.5</v>
      </c>
      <c r="P44" s="84"/>
      <c r="Q44" s="85">
        <v>0</v>
      </c>
      <c r="R44" s="71">
        <v>85626.8</v>
      </c>
      <c r="S44" s="84"/>
      <c r="T44" s="85"/>
      <c r="U44" s="117">
        <f>X44+AA44+AD44</f>
        <v>129378.45999999999</v>
      </c>
      <c r="V44" s="84">
        <f t="shared" ref="V44:V48" si="69">Y44+AB44+AE44</f>
        <v>0</v>
      </c>
      <c r="W44" s="85">
        <f t="shared" si="59"/>
        <v>0</v>
      </c>
      <c r="X44" s="71">
        <v>26776.29</v>
      </c>
      <c r="Y44" s="84"/>
      <c r="Z44" s="85">
        <v>0</v>
      </c>
      <c r="AA44" s="71">
        <v>45825.17</v>
      </c>
      <c r="AB44" s="84"/>
      <c r="AC44" s="85"/>
      <c r="AD44" s="71">
        <v>56777</v>
      </c>
      <c r="AE44" s="84"/>
      <c r="AF44" s="118"/>
      <c r="AG44" s="117">
        <f>AJ44+AM44+AP44</f>
        <v>132150.67000000022</v>
      </c>
      <c r="AH44" s="84">
        <f>AK44+AN44+AQ44</f>
        <v>0</v>
      </c>
      <c r="AI44" s="85">
        <f t="shared" si="13"/>
        <v>0</v>
      </c>
      <c r="AJ44" s="71">
        <f>15702.17+5737.79</f>
        <v>21439.96</v>
      </c>
      <c r="AK44" s="84"/>
      <c r="AL44" s="85"/>
      <c r="AM44" s="71">
        <f>61587.5-4317.7899999998</f>
        <v>57269.710000000203</v>
      </c>
      <c r="AN44" s="84"/>
      <c r="AO44" s="85"/>
      <c r="AP44" s="71">
        <v>53441</v>
      </c>
      <c r="AQ44" s="84"/>
      <c r="AR44" s="85"/>
      <c r="AS44" s="117">
        <f t="shared" si="33"/>
        <v>150056.19</v>
      </c>
      <c r="AT44" s="84">
        <f t="shared" si="33"/>
        <v>0</v>
      </c>
      <c r="AU44" s="85">
        <f t="shared" si="15"/>
        <v>0</v>
      </c>
      <c r="AV44" s="71">
        <f>56435.06+30</f>
        <v>56465.06</v>
      </c>
      <c r="AW44" s="84"/>
      <c r="AX44" s="85"/>
      <c r="AY44" s="71">
        <v>30390</v>
      </c>
      <c r="AZ44" s="84"/>
      <c r="BA44" s="85"/>
      <c r="BB44" s="71">
        <v>63201.13</v>
      </c>
      <c r="BC44" s="84"/>
      <c r="BD44" s="85"/>
      <c r="BE44" s="13"/>
      <c r="BF44" s="102"/>
      <c r="BG44" s="103"/>
      <c r="BH44" s="108"/>
      <c r="BI44" s="108"/>
      <c r="BJ44" s="108"/>
    </row>
    <row r="45" spans="2:62" s="1" customFormat="1" ht="47.25" customHeight="1" x14ac:dyDescent="0.25">
      <c r="B45" s="9"/>
      <c r="C45" s="67" t="s">
        <v>92</v>
      </c>
      <c r="D45" s="68">
        <v>916500</v>
      </c>
      <c r="E45" s="69">
        <v>975395</v>
      </c>
      <c r="F45" s="69">
        <f t="shared" si="57"/>
        <v>951847.91999999969</v>
      </c>
      <c r="G45" s="70">
        <f t="shared" si="48"/>
        <v>0</v>
      </c>
      <c r="H45" s="70">
        <f t="shared" si="49"/>
        <v>1055</v>
      </c>
      <c r="I45" s="84">
        <f t="shared" si="16"/>
        <v>3867.9899999999989</v>
      </c>
      <c r="J45" s="84">
        <f t="shared" si="16"/>
        <v>0</v>
      </c>
      <c r="K45" s="85">
        <f t="shared" si="16"/>
        <v>338.99999999999989</v>
      </c>
      <c r="L45" s="71">
        <v>114.1</v>
      </c>
      <c r="M45" s="84"/>
      <c r="N45" s="85">
        <v>10</v>
      </c>
      <c r="O45" s="71">
        <v>1289.33</v>
      </c>
      <c r="P45" s="84"/>
      <c r="Q45" s="85">
        <v>112.99999999999999</v>
      </c>
      <c r="R45" s="71">
        <v>2464.559999999999</v>
      </c>
      <c r="S45" s="84"/>
      <c r="T45" s="85">
        <v>215.99999999999991</v>
      </c>
      <c r="U45" s="84">
        <f>X45+AA45+AD45</f>
        <v>816637.44999999972</v>
      </c>
      <c r="V45" s="84">
        <f t="shared" si="69"/>
        <v>0</v>
      </c>
      <c r="W45" s="85">
        <f t="shared" si="59"/>
        <v>356</v>
      </c>
      <c r="X45" s="71">
        <v>684.6</v>
      </c>
      <c r="Y45" s="84"/>
      <c r="Z45" s="85">
        <f>X45/11.41</f>
        <v>60</v>
      </c>
      <c r="AA45" s="71">
        <v>798965.85999999975</v>
      </c>
      <c r="AB45" s="84"/>
      <c r="AC45" s="85">
        <v>146</v>
      </c>
      <c r="AD45" s="71">
        <v>16986.989999999998</v>
      </c>
      <c r="AE45" s="84"/>
      <c r="AF45" s="85">
        <v>150</v>
      </c>
      <c r="AG45" s="84">
        <f t="shared" ref="AG45:AH48" si="70">AJ45+AM45+AP45</f>
        <v>82085.19</v>
      </c>
      <c r="AH45" s="84">
        <f t="shared" si="70"/>
        <v>0</v>
      </c>
      <c r="AI45" s="85">
        <f t="shared" si="13"/>
        <v>360</v>
      </c>
      <c r="AJ45" s="71">
        <v>9557.24</v>
      </c>
      <c r="AK45" s="84"/>
      <c r="AL45" s="85">
        <v>120</v>
      </c>
      <c r="AM45" s="71">
        <v>31872.63</v>
      </c>
      <c r="AN45" s="84"/>
      <c r="AO45" s="85">
        <v>120</v>
      </c>
      <c r="AP45" s="71">
        <v>40655.32</v>
      </c>
      <c r="AQ45" s="84"/>
      <c r="AR45" s="85">
        <v>120</v>
      </c>
      <c r="AS45" s="84">
        <f t="shared" si="33"/>
        <v>49257.290000000008</v>
      </c>
      <c r="AT45" s="84">
        <f t="shared" si="33"/>
        <v>0</v>
      </c>
      <c r="AU45" s="85">
        <f t="shared" si="15"/>
        <v>0</v>
      </c>
      <c r="AV45" s="71">
        <v>45056.33</v>
      </c>
      <c r="AW45" s="84"/>
      <c r="AX45" s="85"/>
      <c r="AY45" s="71">
        <v>912.8</v>
      </c>
      <c r="AZ45" s="84"/>
      <c r="BA45" s="85"/>
      <c r="BB45" s="71">
        <v>3288.16</v>
      </c>
      <c r="BC45" s="84"/>
      <c r="BD45" s="85"/>
      <c r="BE45" s="13"/>
      <c r="BF45" s="102"/>
      <c r="BG45" s="103"/>
      <c r="BH45" s="108"/>
      <c r="BI45" s="108"/>
      <c r="BJ45" s="108"/>
    </row>
    <row r="46" spans="2:62" s="1" customFormat="1" ht="19.5" customHeight="1" x14ac:dyDescent="0.25">
      <c r="B46" s="9"/>
      <c r="C46" s="67" t="s">
        <v>93</v>
      </c>
      <c r="D46" s="68">
        <v>30000</v>
      </c>
      <c r="E46" s="69">
        <v>22000</v>
      </c>
      <c r="F46" s="69">
        <f t="shared" si="57"/>
        <v>18712.5</v>
      </c>
      <c r="G46" s="70">
        <f t="shared" si="48"/>
        <v>0</v>
      </c>
      <c r="H46" s="70">
        <f t="shared" si="49"/>
        <v>317</v>
      </c>
      <c r="I46" s="84">
        <f t="shared" si="16"/>
        <v>122</v>
      </c>
      <c r="J46" s="84">
        <f t="shared" si="16"/>
        <v>0</v>
      </c>
      <c r="K46" s="85">
        <f t="shared" si="16"/>
        <v>61</v>
      </c>
      <c r="L46" s="71"/>
      <c r="M46" s="84"/>
      <c r="N46" s="85"/>
      <c r="O46" s="71">
        <v>58</v>
      </c>
      <c r="P46" s="84"/>
      <c r="Q46" s="85">
        <v>29</v>
      </c>
      <c r="R46" s="71">
        <v>64</v>
      </c>
      <c r="S46" s="84"/>
      <c r="T46" s="85">
        <v>32</v>
      </c>
      <c r="U46" s="84">
        <f t="shared" ref="U46:U48" si="71">X46+AA46+AD46</f>
        <v>1892</v>
      </c>
      <c r="V46" s="84">
        <f t="shared" si="69"/>
        <v>0</v>
      </c>
      <c r="W46" s="85">
        <f t="shared" si="59"/>
        <v>145</v>
      </c>
      <c r="X46" s="71">
        <v>24</v>
      </c>
      <c r="Y46" s="84"/>
      <c r="Z46" s="85">
        <f>X46*2</f>
        <v>48</v>
      </c>
      <c r="AA46" s="71">
        <v>487</v>
      </c>
      <c r="AB46" s="84"/>
      <c r="AC46" s="85">
        <v>68</v>
      </c>
      <c r="AD46" s="71">
        <v>1381</v>
      </c>
      <c r="AE46" s="84"/>
      <c r="AF46" s="85">
        <v>29</v>
      </c>
      <c r="AG46" s="84">
        <f t="shared" si="70"/>
        <v>2522</v>
      </c>
      <c r="AH46" s="84">
        <f t="shared" si="70"/>
        <v>0</v>
      </c>
      <c r="AI46" s="85">
        <f t="shared" si="13"/>
        <v>111</v>
      </c>
      <c r="AJ46" s="71">
        <v>562</v>
      </c>
      <c r="AK46" s="84"/>
      <c r="AL46" s="85">
        <v>29</v>
      </c>
      <c r="AM46" s="71">
        <v>52</v>
      </c>
      <c r="AN46" s="84"/>
      <c r="AO46" s="85">
        <v>37</v>
      </c>
      <c r="AP46" s="71">
        <f>7088-5180</f>
        <v>1908</v>
      </c>
      <c r="AQ46" s="84"/>
      <c r="AR46" s="85">
        <v>45</v>
      </c>
      <c r="AS46" s="84">
        <f t="shared" si="33"/>
        <v>14176.5</v>
      </c>
      <c r="AT46" s="84">
        <f t="shared" si="33"/>
        <v>0</v>
      </c>
      <c r="AU46" s="85">
        <f t="shared" si="15"/>
        <v>0</v>
      </c>
      <c r="AV46" s="71">
        <v>641</v>
      </c>
      <c r="AW46" s="84"/>
      <c r="AX46" s="85"/>
      <c r="AY46" s="71">
        <v>13448.5</v>
      </c>
      <c r="AZ46" s="84"/>
      <c r="BA46" s="85"/>
      <c r="BB46" s="71">
        <v>87</v>
      </c>
      <c r="BC46" s="84"/>
      <c r="BD46" s="85"/>
      <c r="BE46" s="13"/>
      <c r="BF46" s="102"/>
      <c r="BG46" s="103"/>
      <c r="BH46" s="108"/>
      <c r="BI46" s="108"/>
      <c r="BJ46" s="108"/>
    </row>
    <row r="47" spans="2:62" s="1" customFormat="1" ht="24.75" customHeight="1" x14ac:dyDescent="0.25">
      <c r="B47" s="9"/>
      <c r="C47" s="67" t="s">
        <v>94</v>
      </c>
      <c r="D47" s="68">
        <v>80000</v>
      </c>
      <c r="E47" s="69">
        <v>14105</v>
      </c>
      <c r="F47" s="69">
        <f t="shared" si="57"/>
        <v>13632.8</v>
      </c>
      <c r="G47" s="70">
        <f t="shared" si="48"/>
        <v>0</v>
      </c>
      <c r="H47" s="70">
        <f t="shared" si="49"/>
        <v>89</v>
      </c>
      <c r="I47" s="84">
        <f t="shared" si="16"/>
        <v>108</v>
      </c>
      <c r="J47" s="84">
        <f t="shared" si="16"/>
        <v>0</v>
      </c>
      <c r="K47" s="85">
        <f t="shared" si="16"/>
        <v>36</v>
      </c>
      <c r="L47" s="71"/>
      <c r="M47" s="84"/>
      <c r="N47" s="85"/>
      <c r="O47" s="71">
        <v>12</v>
      </c>
      <c r="P47" s="84"/>
      <c r="Q47" s="85">
        <v>4</v>
      </c>
      <c r="R47" s="71">
        <v>96</v>
      </c>
      <c r="S47" s="84"/>
      <c r="T47" s="85">
        <v>32</v>
      </c>
      <c r="U47" s="84">
        <f t="shared" si="71"/>
        <v>75</v>
      </c>
      <c r="V47" s="84">
        <f t="shared" si="69"/>
        <v>0</v>
      </c>
      <c r="W47" s="85">
        <f t="shared" si="59"/>
        <v>25</v>
      </c>
      <c r="X47" s="71">
        <v>0</v>
      </c>
      <c r="Y47" s="84"/>
      <c r="Z47" s="85">
        <v>0</v>
      </c>
      <c r="AA47" s="71">
        <v>75</v>
      </c>
      <c r="AB47" s="84"/>
      <c r="AC47" s="85">
        <v>25</v>
      </c>
      <c r="AD47" s="71"/>
      <c r="AE47" s="84"/>
      <c r="AF47" s="85"/>
      <c r="AG47" s="84">
        <f t="shared" si="70"/>
        <v>5369</v>
      </c>
      <c r="AH47" s="84">
        <f t="shared" si="70"/>
        <v>0</v>
      </c>
      <c r="AI47" s="85">
        <f t="shared" si="13"/>
        <v>28</v>
      </c>
      <c r="AJ47" s="71">
        <v>111</v>
      </c>
      <c r="AK47" s="84"/>
      <c r="AL47" s="85">
        <v>17</v>
      </c>
      <c r="AM47" s="71"/>
      <c r="AN47" s="84"/>
      <c r="AO47" s="85"/>
      <c r="AP47" s="71">
        <f>78+5180</f>
        <v>5258</v>
      </c>
      <c r="AQ47" s="84"/>
      <c r="AR47" s="85">
        <v>11</v>
      </c>
      <c r="AS47" s="84">
        <f t="shared" si="33"/>
        <v>8080.8</v>
      </c>
      <c r="AT47" s="84">
        <f t="shared" si="33"/>
        <v>0</v>
      </c>
      <c r="AU47" s="85">
        <f t="shared" si="15"/>
        <v>0</v>
      </c>
      <c r="AV47" s="71">
        <v>160.80000000000001</v>
      </c>
      <c r="AW47" s="84"/>
      <c r="AX47" s="85"/>
      <c r="AY47" s="71">
        <v>1358</v>
      </c>
      <c r="AZ47" s="84"/>
      <c r="BA47" s="85"/>
      <c r="BB47" s="71">
        <v>6562</v>
      </c>
      <c r="BC47" s="84"/>
      <c r="BD47" s="85"/>
      <c r="BE47" s="13"/>
      <c r="BF47" s="102"/>
      <c r="BG47" s="103"/>
      <c r="BH47" s="108"/>
      <c r="BI47" s="108"/>
      <c r="BJ47" s="108"/>
    </row>
    <row r="48" spans="2:62" s="1" customFormat="1" ht="69.75" customHeight="1" thickBot="1" x14ac:dyDescent="0.3">
      <c r="B48" s="9"/>
      <c r="C48" s="67" t="s">
        <v>95</v>
      </c>
      <c r="D48" s="68">
        <v>120000</v>
      </c>
      <c r="E48" s="69">
        <v>172000</v>
      </c>
      <c r="F48" s="69">
        <f t="shared" si="57"/>
        <v>170071.43</v>
      </c>
      <c r="G48" s="70">
        <f t="shared" si="48"/>
        <v>0</v>
      </c>
      <c r="H48" s="70">
        <f t="shared" si="49"/>
        <v>0</v>
      </c>
      <c r="I48" s="84">
        <f t="shared" si="16"/>
        <v>9400</v>
      </c>
      <c r="J48" s="84">
        <f t="shared" si="16"/>
        <v>0</v>
      </c>
      <c r="K48" s="85">
        <f t="shared" si="16"/>
        <v>0</v>
      </c>
      <c r="L48" s="71">
        <v>3000</v>
      </c>
      <c r="M48" s="84"/>
      <c r="N48" s="85"/>
      <c r="O48" s="71">
        <v>0</v>
      </c>
      <c r="P48" s="84"/>
      <c r="Q48" s="85">
        <v>0</v>
      </c>
      <c r="R48" s="71">
        <v>6400</v>
      </c>
      <c r="S48" s="84"/>
      <c r="T48" s="85"/>
      <c r="U48" s="84">
        <f t="shared" si="71"/>
        <v>10000</v>
      </c>
      <c r="V48" s="84">
        <f t="shared" si="69"/>
        <v>0</v>
      </c>
      <c r="W48" s="85">
        <f t="shared" si="59"/>
        <v>0</v>
      </c>
      <c r="X48" s="71">
        <v>3000</v>
      </c>
      <c r="Y48" s="84"/>
      <c r="Z48" s="85">
        <v>0</v>
      </c>
      <c r="AA48" s="71">
        <v>3600</v>
      </c>
      <c r="AB48" s="84"/>
      <c r="AC48" s="85"/>
      <c r="AD48" s="71">
        <v>3400</v>
      </c>
      <c r="AE48" s="84"/>
      <c r="AF48" s="85"/>
      <c r="AG48" s="84">
        <f t="shared" si="70"/>
        <v>16520</v>
      </c>
      <c r="AH48" s="84">
        <f t="shared" si="70"/>
        <v>0</v>
      </c>
      <c r="AI48" s="85">
        <f t="shared" si="13"/>
        <v>0</v>
      </c>
      <c r="AJ48" s="71">
        <v>1000</v>
      </c>
      <c r="AK48" s="84"/>
      <c r="AL48" s="85"/>
      <c r="AM48" s="71">
        <v>3400</v>
      </c>
      <c r="AN48" s="84"/>
      <c r="AO48" s="85"/>
      <c r="AP48" s="71">
        <v>12120</v>
      </c>
      <c r="AQ48" s="84"/>
      <c r="AR48" s="85"/>
      <c r="AS48" s="84">
        <f t="shared" si="33"/>
        <v>134151.43</v>
      </c>
      <c r="AT48" s="84">
        <f t="shared" si="33"/>
        <v>0</v>
      </c>
      <c r="AU48" s="85">
        <f t="shared" si="15"/>
        <v>0</v>
      </c>
      <c r="AV48" s="71">
        <v>61292</v>
      </c>
      <c r="AW48" s="84"/>
      <c r="AX48" s="85"/>
      <c r="AY48" s="71">
        <v>7388.41</v>
      </c>
      <c r="AZ48" s="84"/>
      <c r="BA48" s="85"/>
      <c r="BB48" s="71">
        <v>65471.02</v>
      </c>
      <c r="BC48" s="84"/>
      <c r="BD48" s="85"/>
      <c r="BE48" s="13"/>
      <c r="BF48" s="102"/>
      <c r="BG48" s="103"/>
      <c r="BH48" s="108"/>
      <c r="BI48" s="108"/>
      <c r="BJ48" s="108"/>
    </row>
    <row r="49" spans="2:62" ht="37.5" customHeight="1" thickBot="1" x14ac:dyDescent="0.3">
      <c r="B49" s="6" t="s">
        <v>65</v>
      </c>
      <c r="C49" s="6" t="s">
        <v>113</v>
      </c>
      <c r="D49" s="7">
        <f>SUM(D50:D53)</f>
        <v>1800000</v>
      </c>
      <c r="E49" s="49">
        <f>SUM(E50:E53)</f>
        <v>1986000</v>
      </c>
      <c r="F49" s="60">
        <f t="shared" si="57"/>
        <v>1970222.01</v>
      </c>
      <c r="G49" s="48">
        <f t="shared" si="48"/>
        <v>0</v>
      </c>
      <c r="H49" s="48">
        <f t="shared" si="49"/>
        <v>58271.823529411769</v>
      </c>
      <c r="I49" s="76">
        <f>L49+O49+R49</f>
        <v>345499</v>
      </c>
      <c r="J49" s="76">
        <f t="shared" si="16"/>
        <v>0</v>
      </c>
      <c r="K49" s="77">
        <f t="shared" si="16"/>
        <v>20017.588235294119</v>
      </c>
      <c r="L49" s="75">
        <f>SUM(L50:L53)</f>
        <v>105662</v>
      </c>
      <c r="M49" s="75">
        <f t="shared" ref="M49:N49" si="72">SUM(M50:M53)</f>
        <v>0</v>
      </c>
      <c r="N49" s="75">
        <f t="shared" si="72"/>
        <v>6133.0588235294117</v>
      </c>
      <c r="O49" s="75">
        <f>SUM(O50:O53)</f>
        <v>127294</v>
      </c>
      <c r="P49" s="75">
        <f t="shared" ref="P49:Q49" si="73">SUM(P50:P53)</f>
        <v>0</v>
      </c>
      <c r="Q49" s="75">
        <f t="shared" si="73"/>
        <v>7405.5294117647063</v>
      </c>
      <c r="R49" s="75">
        <f>SUM(R50:R53)</f>
        <v>112543</v>
      </c>
      <c r="S49" s="75">
        <f t="shared" ref="S49:T49" si="74">SUM(S50:S53)</f>
        <v>0</v>
      </c>
      <c r="T49" s="75">
        <f t="shared" si="74"/>
        <v>6479</v>
      </c>
      <c r="U49" s="76">
        <f>X49+AA49+AD49</f>
        <v>416736</v>
      </c>
      <c r="V49" s="76"/>
      <c r="W49" s="77">
        <f t="shared" si="59"/>
        <v>24090.352941176468</v>
      </c>
      <c r="X49" s="75">
        <f>SUM(X50:X53)</f>
        <v>157135</v>
      </c>
      <c r="Y49" s="75">
        <f t="shared" ref="Y49:Z49" si="75">SUM(Y50:Y53)</f>
        <v>0</v>
      </c>
      <c r="Z49" s="75">
        <f t="shared" si="75"/>
        <v>9102.0588235294126</v>
      </c>
      <c r="AA49" s="75">
        <f>SUM(AA50:AA53)</f>
        <v>117247</v>
      </c>
      <c r="AB49" s="75">
        <f t="shared" ref="AB49:AC49" si="76">SUM(AB50:AB53)</f>
        <v>0</v>
      </c>
      <c r="AC49" s="75">
        <f t="shared" si="76"/>
        <v>6755.7058823529414</v>
      </c>
      <c r="AD49" s="75">
        <f>SUM(AD50:AD53)</f>
        <v>142354</v>
      </c>
      <c r="AE49" s="75">
        <f t="shared" ref="AE49:AF49" si="77">SUM(AE50:AE53)</f>
        <v>0</v>
      </c>
      <c r="AF49" s="75">
        <f t="shared" si="77"/>
        <v>8232.5882352941171</v>
      </c>
      <c r="AG49" s="76">
        <f>AJ49+AM49+AP49</f>
        <v>322101</v>
      </c>
      <c r="AH49" s="76">
        <f>Y49+AB49+AE49</f>
        <v>0</v>
      </c>
      <c r="AI49" s="77">
        <f t="shared" si="13"/>
        <v>14163.882352941177</v>
      </c>
      <c r="AJ49" s="75">
        <f>SUM(AJ50:AJ53)</f>
        <v>91816</v>
      </c>
      <c r="AK49" s="75">
        <f t="shared" ref="AK49:AL49" si="78">SUM(AK50:AK53)</f>
        <v>0</v>
      </c>
      <c r="AL49" s="75">
        <f t="shared" si="78"/>
        <v>3648</v>
      </c>
      <c r="AM49" s="75">
        <f>SUM(AM50:AM53)</f>
        <v>158123</v>
      </c>
      <c r="AN49" s="75">
        <f t="shared" ref="AN49:AO49" si="79">SUM(AN50:AN53)</f>
        <v>0</v>
      </c>
      <c r="AO49" s="75">
        <f t="shared" si="79"/>
        <v>8015.8823529411766</v>
      </c>
      <c r="AP49" s="75">
        <f>SUM(AP50:AP53)</f>
        <v>72162</v>
      </c>
      <c r="AQ49" s="75">
        <f t="shared" ref="AQ49:AR49" si="80">SUM(AQ50:AQ53)</f>
        <v>0</v>
      </c>
      <c r="AR49" s="75">
        <f t="shared" si="80"/>
        <v>2500</v>
      </c>
      <c r="AS49" s="76">
        <f>AV49+AY49+BB49</f>
        <v>885886.01</v>
      </c>
      <c r="AT49" s="76">
        <f>AK49+AN49+AQ49</f>
        <v>0</v>
      </c>
      <c r="AU49" s="77">
        <f t="shared" si="15"/>
        <v>0</v>
      </c>
      <c r="AV49" s="75">
        <f>SUM(AV50:AV53)</f>
        <v>222863</v>
      </c>
      <c r="AW49" s="75">
        <f t="shared" ref="AW49:AX49" si="81">SUM(AW50:AW53)</f>
        <v>0</v>
      </c>
      <c r="AX49" s="75">
        <f t="shared" si="81"/>
        <v>0</v>
      </c>
      <c r="AY49" s="75">
        <f t="shared" ref="AY49" si="82">SUM(AY50:AY53)</f>
        <v>98659</v>
      </c>
      <c r="AZ49" s="75">
        <f t="shared" ref="AZ49" si="83">SUM(AZ50:AZ53)</f>
        <v>0</v>
      </c>
      <c r="BA49" s="75">
        <f t="shared" ref="BA49" si="84">SUM(BA50:BA53)</f>
        <v>0</v>
      </c>
      <c r="BB49" s="75">
        <f t="shared" ref="BB49" si="85">SUM(BB50:BB53)</f>
        <v>564364.01</v>
      </c>
      <c r="BC49" s="75">
        <f t="shared" ref="BC49" si="86">SUM(BC50:BC53)</f>
        <v>0</v>
      </c>
      <c r="BD49" s="75">
        <f t="shared" ref="BD49" si="87">SUM(BD50:BD53)</f>
        <v>0</v>
      </c>
      <c r="BE49" s="75">
        <f t="shared" ref="BE49" si="88">SUM(BE50:BE53)</f>
        <v>0</v>
      </c>
      <c r="BF49" s="102">
        <v>1084336</v>
      </c>
      <c r="BG49" s="103">
        <f>I49+U49</f>
        <v>762235</v>
      </c>
      <c r="BH49" s="108">
        <f>(BG49+AG49)-BF49</f>
        <v>0</v>
      </c>
      <c r="BI49" s="108">
        <v>1</v>
      </c>
      <c r="BJ49" s="108"/>
    </row>
    <row r="50" spans="2:62" s="1" customFormat="1" ht="30" x14ac:dyDescent="0.25">
      <c r="B50" s="9"/>
      <c r="C50" s="14" t="s">
        <v>87</v>
      </c>
      <c r="D50" s="11">
        <v>1460000</v>
      </c>
      <c r="E50" s="24">
        <v>1171194</v>
      </c>
      <c r="F50" s="24">
        <f t="shared" si="57"/>
        <v>1160743</v>
      </c>
      <c r="G50" s="47">
        <f t="shared" si="48"/>
        <v>0</v>
      </c>
      <c r="H50" s="47">
        <f t="shared" si="49"/>
        <v>58271.823529411769</v>
      </c>
      <c r="I50" s="82">
        <f t="shared" si="16"/>
        <v>340299</v>
      </c>
      <c r="J50" s="82">
        <f t="shared" si="16"/>
        <v>0</v>
      </c>
      <c r="K50" s="83">
        <f t="shared" si="16"/>
        <v>20017.588235294119</v>
      </c>
      <c r="L50" s="63">
        <v>104262</v>
      </c>
      <c r="M50" s="82"/>
      <c r="N50" s="83">
        <v>6133.0588235294117</v>
      </c>
      <c r="O50" s="63">
        <v>125894</v>
      </c>
      <c r="P50" s="82"/>
      <c r="Q50" s="83">
        <v>7405.5294117647063</v>
      </c>
      <c r="R50" s="63">
        <v>110143</v>
      </c>
      <c r="S50" s="82"/>
      <c r="T50" s="83">
        <v>6479</v>
      </c>
      <c r="U50" s="82">
        <f t="shared" ref="U50:U56" si="89">X50+AA50+AD50</f>
        <v>409536</v>
      </c>
      <c r="V50" s="82">
        <f t="shared" ref="V50:V54" si="90">Y50+AB50+AE50</f>
        <v>0</v>
      </c>
      <c r="W50" s="83">
        <f t="shared" si="59"/>
        <v>24090.352941176468</v>
      </c>
      <c r="X50" s="63">
        <v>154735</v>
      </c>
      <c r="Y50" s="82"/>
      <c r="Z50" s="83">
        <f>X50/17</f>
        <v>9102.0588235294126</v>
      </c>
      <c r="AA50" s="63">
        <v>114847</v>
      </c>
      <c r="AB50" s="82"/>
      <c r="AC50" s="83">
        <f>AA50/17</f>
        <v>6755.7058823529414</v>
      </c>
      <c r="AD50" s="63">
        <v>139954</v>
      </c>
      <c r="AE50" s="82"/>
      <c r="AF50" s="83">
        <f>AD50/17</f>
        <v>8232.5882352941171</v>
      </c>
      <c r="AG50" s="82">
        <f t="shared" si="12"/>
        <v>240786</v>
      </c>
      <c r="AH50" s="82"/>
      <c r="AI50" s="83">
        <f t="shared" si="13"/>
        <v>14163.882352941177</v>
      </c>
      <c r="AJ50" s="63">
        <v>88468</v>
      </c>
      <c r="AK50" s="82"/>
      <c r="AL50" s="83">
        <v>3648</v>
      </c>
      <c r="AM50" s="63">
        <v>109818</v>
      </c>
      <c r="AN50" s="82"/>
      <c r="AO50" s="83">
        <v>8015.8823529411766</v>
      </c>
      <c r="AP50" s="63">
        <v>42500</v>
      </c>
      <c r="AQ50" s="82"/>
      <c r="AR50" s="83">
        <v>2500</v>
      </c>
      <c r="AS50" s="82">
        <f t="shared" si="33"/>
        <v>170122</v>
      </c>
      <c r="AT50" s="82"/>
      <c r="AU50" s="83">
        <f t="shared" si="15"/>
        <v>0</v>
      </c>
      <c r="AV50" s="63">
        <v>95166</v>
      </c>
      <c r="AW50" s="82"/>
      <c r="AX50" s="83"/>
      <c r="AY50" s="63">
        <v>57259</v>
      </c>
      <c r="AZ50" s="82"/>
      <c r="BA50" s="83"/>
      <c r="BB50" s="63">
        <v>17697</v>
      </c>
      <c r="BC50" s="82"/>
      <c r="BD50" s="83"/>
      <c r="BE50" s="13"/>
      <c r="BF50" s="102"/>
      <c r="BG50" s="103"/>
      <c r="BH50" s="108"/>
      <c r="BI50" s="108"/>
      <c r="BJ50" s="108"/>
    </row>
    <row r="51" spans="2:62" s="1" customFormat="1" ht="53.25" customHeight="1" x14ac:dyDescent="0.25">
      <c r="B51" s="9"/>
      <c r="C51" s="14" t="s">
        <v>88</v>
      </c>
      <c r="D51" s="11">
        <v>128000</v>
      </c>
      <c r="E51" s="24">
        <v>602806</v>
      </c>
      <c r="F51" s="24">
        <f t="shared" si="57"/>
        <v>602079.01</v>
      </c>
      <c r="G51" s="47">
        <f t="shared" si="48"/>
        <v>0</v>
      </c>
      <c r="H51" s="47">
        <f t="shared" si="49"/>
        <v>0</v>
      </c>
      <c r="I51" s="82">
        <f t="shared" si="16"/>
        <v>4200</v>
      </c>
      <c r="J51" s="82">
        <f t="shared" si="16"/>
        <v>0</v>
      </c>
      <c r="K51" s="83">
        <f t="shared" si="16"/>
        <v>0</v>
      </c>
      <c r="L51" s="63">
        <v>1400</v>
      </c>
      <c r="M51" s="82"/>
      <c r="N51" s="83"/>
      <c r="O51" s="63">
        <v>1400</v>
      </c>
      <c r="P51" s="82"/>
      <c r="Q51" s="83">
        <v>0</v>
      </c>
      <c r="R51" s="63">
        <f>2400-1000</f>
        <v>1400</v>
      </c>
      <c r="S51" s="82"/>
      <c r="T51" s="83"/>
      <c r="U51" s="82">
        <f t="shared" si="89"/>
        <v>4200</v>
      </c>
      <c r="V51" s="82">
        <f t="shared" si="90"/>
        <v>0</v>
      </c>
      <c r="W51" s="83">
        <f t="shared" si="59"/>
        <v>0</v>
      </c>
      <c r="X51" s="63">
        <f>2400-1000</f>
        <v>1400</v>
      </c>
      <c r="Y51" s="82"/>
      <c r="Z51" s="83"/>
      <c r="AA51" s="63">
        <f>2400-1000</f>
        <v>1400</v>
      </c>
      <c r="AB51" s="82"/>
      <c r="AC51" s="83"/>
      <c r="AD51" s="63">
        <f>2400-1000</f>
        <v>1400</v>
      </c>
      <c r="AE51" s="82"/>
      <c r="AF51" s="83"/>
      <c r="AG51" s="82">
        <f t="shared" si="12"/>
        <v>9865</v>
      </c>
      <c r="AH51" s="82"/>
      <c r="AI51" s="83">
        <f t="shared" si="13"/>
        <v>0</v>
      </c>
      <c r="AJ51" s="63">
        <v>2348</v>
      </c>
      <c r="AK51" s="82"/>
      <c r="AL51" s="83"/>
      <c r="AM51" s="63">
        <f>5306-1-1000</f>
        <v>4305</v>
      </c>
      <c r="AN51" s="82"/>
      <c r="AO51" s="83"/>
      <c r="AP51" s="63">
        <f>4212-1000</f>
        <v>3212</v>
      </c>
      <c r="AQ51" s="82"/>
      <c r="AR51" s="83"/>
      <c r="AS51" s="82">
        <f t="shared" ref="AS51:AS56" si="91">AV51+AY51+BB51</f>
        <v>583814.01</v>
      </c>
      <c r="AT51" s="82"/>
      <c r="AU51" s="83">
        <f t="shared" si="15"/>
        <v>0</v>
      </c>
      <c r="AV51" s="63">
        <v>65247</v>
      </c>
      <c r="AW51" s="82"/>
      <c r="AX51" s="83"/>
      <c r="AY51" s="63">
        <v>1400</v>
      </c>
      <c r="AZ51" s="82"/>
      <c r="BA51" s="83"/>
      <c r="BB51" s="63">
        <v>517167.01</v>
      </c>
      <c r="BC51" s="82"/>
      <c r="BD51" s="83"/>
      <c r="BE51" s="13"/>
      <c r="BF51" s="102"/>
      <c r="BG51" s="103"/>
      <c r="BH51" s="108"/>
      <c r="BI51" s="108"/>
      <c r="BJ51" s="108"/>
    </row>
    <row r="52" spans="2:62" s="1" customFormat="1" ht="49.5" customHeight="1" x14ac:dyDescent="0.25">
      <c r="B52" s="9"/>
      <c r="C52" s="25" t="s">
        <v>89</v>
      </c>
      <c r="D52" s="11">
        <v>200000</v>
      </c>
      <c r="E52" s="24">
        <v>200000</v>
      </c>
      <c r="F52" s="24">
        <f t="shared" si="57"/>
        <v>196400</v>
      </c>
      <c r="G52" s="47">
        <f t="shared" si="48"/>
        <v>0</v>
      </c>
      <c r="H52" s="47">
        <f t="shared" si="49"/>
        <v>0</v>
      </c>
      <c r="I52" s="82">
        <f t="shared" si="16"/>
        <v>0</v>
      </c>
      <c r="J52" s="82">
        <f t="shared" si="16"/>
        <v>0</v>
      </c>
      <c r="K52" s="83">
        <f t="shared" si="16"/>
        <v>0</v>
      </c>
      <c r="L52" s="63">
        <v>0</v>
      </c>
      <c r="M52" s="82"/>
      <c r="N52" s="83"/>
      <c r="O52" s="63">
        <v>0</v>
      </c>
      <c r="P52" s="82"/>
      <c r="Q52" s="83">
        <v>0</v>
      </c>
      <c r="R52" s="63"/>
      <c r="S52" s="82"/>
      <c r="T52" s="83"/>
      <c r="U52" s="82">
        <f t="shared" si="89"/>
        <v>0</v>
      </c>
      <c r="V52" s="82">
        <f t="shared" si="90"/>
        <v>0</v>
      </c>
      <c r="W52" s="83">
        <f t="shared" si="59"/>
        <v>0</v>
      </c>
      <c r="X52" s="63"/>
      <c r="Y52" s="82"/>
      <c r="Z52" s="83"/>
      <c r="AA52" s="63"/>
      <c r="AB52" s="82"/>
      <c r="AC52" s="83"/>
      <c r="AD52" s="63"/>
      <c r="AE52" s="82"/>
      <c r="AF52" s="83"/>
      <c r="AG52" s="82">
        <f t="shared" si="12"/>
        <v>68450</v>
      </c>
      <c r="AH52" s="82"/>
      <c r="AI52" s="83">
        <f t="shared" si="13"/>
        <v>0</v>
      </c>
      <c r="AJ52" s="63"/>
      <c r="AK52" s="82"/>
      <c r="AL52" s="83"/>
      <c r="AM52" s="63">
        <v>43000</v>
      </c>
      <c r="AN52" s="82"/>
      <c r="AO52" s="83"/>
      <c r="AP52" s="63">
        <v>25450</v>
      </c>
      <c r="AQ52" s="82"/>
      <c r="AR52" s="83"/>
      <c r="AS52" s="82">
        <f t="shared" si="91"/>
        <v>127950</v>
      </c>
      <c r="AT52" s="82"/>
      <c r="AU52" s="83">
        <f t="shared" si="15"/>
        <v>0</v>
      </c>
      <c r="AV52" s="63">
        <v>61450</v>
      </c>
      <c r="AW52" s="82"/>
      <c r="AX52" s="83"/>
      <c r="AY52" s="63">
        <v>39000</v>
      </c>
      <c r="AZ52" s="82"/>
      <c r="BA52" s="83"/>
      <c r="BB52" s="63">
        <v>27500</v>
      </c>
      <c r="BC52" s="82"/>
      <c r="BD52" s="83"/>
      <c r="BE52" s="13"/>
      <c r="BF52" s="102"/>
      <c r="BG52" s="103"/>
      <c r="BH52" s="108"/>
      <c r="BI52" s="108"/>
      <c r="BJ52" s="108"/>
    </row>
    <row r="53" spans="2:62" s="1" customFormat="1" ht="25.5" customHeight="1" thickBot="1" x14ac:dyDescent="0.3">
      <c r="B53" s="119"/>
      <c r="C53" s="120" t="s">
        <v>90</v>
      </c>
      <c r="D53" s="11">
        <v>12000</v>
      </c>
      <c r="E53" s="121">
        <v>12000</v>
      </c>
      <c r="F53" s="24">
        <f t="shared" si="57"/>
        <v>11000</v>
      </c>
      <c r="G53" s="47"/>
      <c r="H53" s="47"/>
      <c r="I53" s="82">
        <f t="shared" si="16"/>
        <v>1000</v>
      </c>
      <c r="J53" s="82">
        <f t="shared" ref="J53" si="92">M53+P53+S53</f>
        <v>0</v>
      </c>
      <c r="K53" s="83">
        <f t="shared" ref="K53" si="93">N53+Q53+T53</f>
        <v>0</v>
      </c>
      <c r="L53" s="63"/>
      <c r="M53" s="82"/>
      <c r="N53" s="83"/>
      <c r="O53" s="63"/>
      <c r="P53" s="82"/>
      <c r="Q53" s="83"/>
      <c r="R53" s="63">
        <v>1000</v>
      </c>
      <c r="S53" s="82"/>
      <c r="T53" s="83"/>
      <c r="U53" s="82">
        <f t="shared" si="89"/>
        <v>3000</v>
      </c>
      <c r="V53" s="82">
        <f t="shared" ref="V53" si="94">Y53+AB53+AE53</f>
        <v>0</v>
      </c>
      <c r="W53" s="83">
        <f t="shared" ref="W53" si="95">Z53+AC53+AF53</f>
        <v>0</v>
      </c>
      <c r="X53" s="63">
        <v>1000</v>
      </c>
      <c r="Y53" s="82"/>
      <c r="Z53" s="83"/>
      <c r="AA53" s="63">
        <v>1000</v>
      </c>
      <c r="AB53" s="82"/>
      <c r="AC53" s="83"/>
      <c r="AD53" s="63">
        <v>1000</v>
      </c>
      <c r="AE53" s="82"/>
      <c r="AF53" s="83"/>
      <c r="AG53" s="82">
        <f t="shared" si="12"/>
        <v>3000</v>
      </c>
      <c r="AH53" s="82"/>
      <c r="AI53" s="83">
        <f t="shared" si="13"/>
        <v>0</v>
      </c>
      <c r="AJ53" s="63">
        <v>1000</v>
      </c>
      <c r="AK53" s="82"/>
      <c r="AL53" s="83"/>
      <c r="AM53" s="63">
        <v>1000</v>
      </c>
      <c r="AN53" s="82"/>
      <c r="AO53" s="83"/>
      <c r="AP53" s="63">
        <v>1000</v>
      </c>
      <c r="AQ53" s="82"/>
      <c r="AR53" s="83"/>
      <c r="AS53" s="82">
        <f t="shared" si="91"/>
        <v>4000</v>
      </c>
      <c r="AT53" s="82"/>
      <c r="AU53" s="83">
        <f t="shared" si="15"/>
        <v>0</v>
      </c>
      <c r="AV53" s="63">
        <v>1000</v>
      </c>
      <c r="AW53" s="122"/>
      <c r="AX53" s="123"/>
      <c r="AY53" s="63">
        <v>1000</v>
      </c>
      <c r="AZ53" s="122"/>
      <c r="BA53" s="123"/>
      <c r="BB53" s="63">
        <v>2000</v>
      </c>
      <c r="BC53" s="122"/>
      <c r="BD53" s="123"/>
      <c r="BE53" s="119"/>
      <c r="BF53" s="102"/>
      <c r="BG53" s="103"/>
      <c r="BH53" s="108"/>
      <c r="BI53" s="108"/>
      <c r="BJ53" s="108"/>
    </row>
    <row r="54" spans="2:62" ht="51" customHeight="1" thickBot="1" x14ac:dyDescent="0.3">
      <c r="B54" s="6" t="s">
        <v>66</v>
      </c>
      <c r="C54" s="6" t="s">
        <v>52</v>
      </c>
      <c r="D54" s="7">
        <f>D55+D56</f>
        <v>260000</v>
      </c>
      <c r="E54" s="49">
        <f>E55+E56</f>
        <v>235500</v>
      </c>
      <c r="F54" s="60">
        <f t="shared" si="57"/>
        <v>234852.38999999998</v>
      </c>
      <c r="G54" s="48">
        <f t="shared" si="48"/>
        <v>0</v>
      </c>
      <c r="H54" s="48">
        <f t="shared" si="49"/>
        <v>0</v>
      </c>
      <c r="I54" s="76">
        <f>L54+O54+R54</f>
        <v>58027.299999999996</v>
      </c>
      <c r="J54" s="76">
        <f>M54+P54+S54</f>
        <v>0</v>
      </c>
      <c r="K54" s="77">
        <f>N54+Q54+T54</f>
        <v>0</v>
      </c>
      <c r="L54" s="75">
        <f>SUM(L55:L56)</f>
        <v>19342.629999999997</v>
      </c>
      <c r="M54" s="76">
        <f t="shared" ref="M54:T54" si="96">SUM(M55:M56)</f>
        <v>0</v>
      </c>
      <c r="N54" s="77">
        <f t="shared" si="96"/>
        <v>0</v>
      </c>
      <c r="O54" s="75">
        <f t="shared" si="96"/>
        <v>19342.669999999998</v>
      </c>
      <c r="P54" s="76">
        <f t="shared" si="96"/>
        <v>0</v>
      </c>
      <c r="Q54" s="77">
        <f t="shared" si="96"/>
        <v>0</v>
      </c>
      <c r="R54" s="75">
        <f t="shared" si="96"/>
        <v>19342</v>
      </c>
      <c r="S54" s="76">
        <f t="shared" si="96"/>
        <v>0</v>
      </c>
      <c r="T54" s="77">
        <f t="shared" si="96"/>
        <v>0</v>
      </c>
      <c r="U54" s="76">
        <f t="shared" si="89"/>
        <v>58074</v>
      </c>
      <c r="V54" s="76">
        <f t="shared" si="90"/>
        <v>0</v>
      </c>
      <c r="W54" s="77">
        <f t="shared" si="59"/>
        <v>0</v>
      </c>
      <c r="X54" s="75">
        <f>X55+X56</f>
        <v>19342</v>
      </c>
      <c r="Y54" s="76">
        <f t="shared" ref="Y54:AF54" si="97">Y55+Y56</f>
        <v>0</v>
      </c>
      <c r="Z54" s="77">
        <f t="shared" si="97"/>
        <v>0</v>
      </c>
      <c r="AA54" s="75">
        <f t="shared" si="97"/>
        <v>19366</v>
      </c>
      <c r="AB54" s="76">
        <f t="shared" si="97"/>
        <v>0</v>
      </c>
      <c r="AC54" s="77">
        <f t="shared" si="97"/>
        <v>0</v>
      </c>
      <c r="AD54" s="75">
        <f t="shared" si="97"/>
        <v>19366</v>
      </c>
      <c r="AE54" s="76">
        <f t="shared" si="97"/>
        <v>0</v>
      </c>
      <c r="AF54" s="77">
        <f t="shared" si="97"/>
        <v>0</v>
      </c>
      <c r="AG54" s="76">
        <f t="shared" si="12"/>
        <v>58194</v>
      </c>
      <c r="AH54" s="76"/>
      <c r="AI54" s="77">
        <f t="shared" si="13"/>
        <v>0</v>
      </c>
      <c r="AJ54" s="75">
        <f>SUM(AJ55:AJ56)</f>
        <v>19366</v>
      </c>
      <c r="AK54" s="76">
        <f t="shared" ref="AK54:AR54" si="98">SUM(AK55:AK56)</f>
        <v>0</v>
      </c>
      <c r="AL54" s="77">
        <f t="shared" si="98"/>
        <v>0</v>
      </c>
      <c r="AM54" s="75">
        <f t="shared" si="98"/>
        <v>5296</v>
      </c>
      <c r="AN54" s="76">
        <f t="shared" si="98"/>
        <v>0</v>
      </c>
      <c r="AO54" s="77">
        <f t="shared" si="98"/>
        <v>0</v>
      </c>
      <c r="AP54" s="75">
        <f t="shared" si="98"/>
        <v>33532</v>
      </c>
      <c r="AQ54" s="76">
        <f t="shared" si="98"/>
        <v>0</v>
      </c>
      <c r="AR54" s="77">
        <f t="shared" si="98"/>
        <v>0</v>
      </c>
      <c r="AS54" s="76">
        <f t="shared" si="91"/>
        <v>60557.09</v>
      </c>
      <c r="AT54" s="76"/>
      <c r="AU54" s="77">
        <f t="shared" si="15"/>
        <v>0</v>
      </c>
      <c r="AV54" s="75">
        <f>SUM(AV55:AV56)</f>
        <v>19325.09</v>
      </c>
      <c r="AW54" s="75">
        <f t="shared" ref="AW54:BE54" si="99">SUM(AW55:AW56)</f>
        <v>0</v>
      </c>
      <c r="AX54" s="75">
        <f t="shared" si="99"/>
        <v>0</v>
      </c>
      <c r="AY54" s="75">
        <f t="shared" si="99"/>
        <v>18466</v>
      </c>
      <c r="AZ54" s="75">
        <f t="shared" si="99"/>
        <v>0</v>
      </c>
      <c r="BA54" s="75">
        <f t="shared" si="99"/>
        <v>0</v>
      </c>
      <c r="BB54" s="75">
        <f t="shared" si="99"/>
        <v>22766</v>
      </c>
      <c r="BC54" s="75">
        <f t="shared" si="99"/>
        <v>0</v>
      </c>
      <c r="BD54" s="75">
        <f t="shared" si="99"/>
        <v>0</v>
      </c>
      <c r="BE54" s="75">
        <f t="shared" si="99"/>
        <v>0</v>
      </c>
      <c r="BF54" s="104">
        <v>174295.3</v>
      </c>
      <c r="BG54" s="103">
        <f>I54+U54</f>
        <v>116101.29999999999</v>
      </c>
      <c r="BH54" s="108">
        <f>(BG54+AG54)-BF54</f>
        <v>0</v>
      </c>
      <c r="BI54" s="108">
        <v>0</v>
      </c>
      <c r="BJ54" s="108"/>
    </row>
    <row r="55" spans="2:62" s="31" customFormat="1" ht="35.25" customHeight="1" thickBot="1" x14ac:dyDescent="0.3">
      <c r="B55" s="26"/>
      <c r="C55" s="27" t="s">
        <v>84</v>
      </c>
      <c r="D55" s="28">
        <v>170000</v>
      </c>
      <c r="E55" s="51">
        <v>170000</v>
      </c>
      <c r="F55" s="51">
        <f t="shared" si="57"/>
        <v>169993.3</v>
      </c>
      <c r="G55" s="29">
        <f t="shared" si="48"/>
        <v>0</v>
      </c>
      <c r="H55" s="29">
        <f t="shared" si="49"/>
        <v>0</v>
      </c>
      <c r="I55" s="86">
        <f>L55+O55+R55</f>
        <v>42499.3</v>
      </c>
      <c r="J55" s="86">
        <f>M55+P55+S55</f>
        <v>0</v>
      </c>
      <c r="K55" s="87">
        <f t="shared" si="16"/>
        <v>0</v>
      </c>
      <c r="L55" s="64">
        <v>14166.63</v>
      </c>
      <c r="M55" s="86"/>
      <c r="N55" s="87"/>
      <c r="O55" s="64">
        <v>14166.67</v>
      </c>
      <c r="P55" s="86"/>
      <c r="Q55" s="87"/>
      <c r="R55" s="64">
        <v>14166</v>
      </c>
      <c r="S55" s="86"/>
      <c r="T55" s="87"/>
      <c r="U55" s="86">
        <f t="shared" si="89"/>
        <v>42498</v>
      </c>
      <c r="V55" s="86"/>
      <c r="W55" s="87"/>
      <c r="X55" s="64">
        <v>14166</v>
      </c>
      <c r="Y55" s="86"/>
      <c r="Z55" s="87"/>
      <c r="AA55" s="64">
        <v>14166</v>
      </c>
      <c r="AB55" s="86"/>
      <c r="AC55" s="87"/>
      <c r="AD55" s="64">
        <v>14166</v>
      </c>
      <c r="AE55" s="86"/>
      <c r="AF55" s="87"/>
      <c r="AG55" s="86">
        <f>AJ55+AM55+AP55</f>
        <v>42498</v>
      </c>
      <c r="AH55" s="86"/>
      <c r="AI55" s="87"/>
      <c r="AJ55" s="64">
        <v>14166</v>
      </c>
      <c r="AK55" s="86"/>
      <c r="AL55" s="87"/>
      <c r="AM55" s="64"/>
      <c r="AN55" s="86"/>
      <c r="AO55" s="87"/>
      <c r="AP55" s="64">
        <v>28332</v>
      </c>
      <c r="AQ55" s="86"/>
      <c r="AR55" s="87"/>
      <c r="AS55" s="86">
        <f t="shared" si="91"/>
        <v>42498</v>
      </c>
      <c r="AT55" s="86"/>
      <c r="AU55" s="87"/>
      <c r="AV55" s="64">
        <v>14166</v>
      </c>
      <c r="AW55" s="86"/>
      <c r="AX55" s="87"/>
      <c r="AY55" s="64">
        <v>14166</v>
      </c>
      <c r="AZ55" s="86"/>
      <c r="BA55" s="87"/>
      <c r="BB55" s="64">
        <v>14166</v>
      </c>
      <c r="BC55" s="86"/>
      <c r="BD55" s="87"/>
      <c r="BE55" s="30"/>
      <c r="BF55" s="104"/>
      <c r="BG55" s="105"/>
      <c r="BH55" s="109"/>
      <c r="BI55" s="109"/>
      <c r="BJ55" s="109"/>
    </row>
    <row r="56" spans="2:62" s="31" customFormat="1" ht="49.5" customHeight="1" thickBot="1" x14ac:dyDescent="0.3">
      <c r="B56" s="26"/>
      <c r="C56" s="27" t="s">
        <v>85</v>
      </c>
      <c r="D56" s="28">
        <v>90000</v>
      </c>
      <c r="E56" s="51">
        <v>65500</v>
      </c>
      <c r="F56" s="51">
        <f t="shared" si="57"/>
        <v>64859.09</v>
      </c>
      <c r="G56" s="29">
        <f t="shared" si="48"/>
        <v>0</v>
      </c>
      <c r="H56" s="29">
        <f t="shared" si="49"/>
        <v>0</v>
      </c>
      <c r="I56" s="86">
        <f t="shared" ref="I56:J56" si="100">L56+O56+R56</f>
        <v>15528</v>
      </c>
      <c r="J56" s="86">
        <f t="shared" si="100"/>
        <v>0</v>
      </c>
      <c r="K56" s="87">
        <f t="shared" si="16"/>
        <v>0</v>
      </c>
      <c r="L56" s="64">
        <v>5176</v>
      </c>
      <c r="M56" s="86"/>
      <c r="N56" s="87"/>
      <c r="O56" s="64">
        <v>5176</v>
      </c>
      <c r="P56" s="86"/>
      <c r="Q56" s="87"/>
      <c r="R56" s="64">
        <v>5176</v>
      </c>
      <c r="S56" s="86"/>
      <c r="T56" s="87"/>
      <c r="U56" s="86">
        <f t="shared" si="89"/>
        <v>15576</v>
      </c>
      <c r="V56" s="86"/>
      <c r="W56" s="87"/>
      <c r="X56" s="64">
        <v>5176</v>
      </c>
      <c r="Y56" s="86"/>
      <c r="Z56" s="87"/>
      <c r="AA56" s="64">
        <v>5200</v>
      </c>
      <c r="AB56" s="86"/>
      <c r="AC56" s="87"/>
      <c r="AD56" s="64">
        <v>5200</v>
      </c>
      <c r="AE56" s="86"/>
      <c r="AF56" s="87"/>
      <c r="AG56" s="86">
        <f>AJ56+AM56+AP56</f>
        <v>15696</v>
      </c>
      <c r="AH56" s="86"/>
      <c r="AI56" s="87"/>
      <c r="AJ56" s="64">
        <v>5200</v>
      </c>
      <c r="AK56" s="86"/>
      <c r="AL56" s="87"/>
      <c r="AM56" s="64">
        <v>5296</v>
      </c>
      <c r="AN56" s="86"/>
      <c r="AO56" s="87"/>
      <c r="AP56" s="64">
        <v>5200</v>
      </c>
      <c r="AQ56" s="86"/>
      <c r="AR56" s="87"/>
      <c r="AS56" s="86">
        <f t="shared" si="91"/>
        <v>18059.09</v>
      </c>
      <c r="AT56" s="86"/>
      <c r="AU56" s="87"/>
      <c r="AV56" s="64">
        <v>5159.09</v>
      </c>
      <c r="AW56" s="86"/>
      <c r="AX56" s="87"/>
      <c r="AY56" s="64">
        <v>4300</v>
      </c>
      <c r="AZ56" s="86"/>
      <c r="BA56" s="87"/>
      <c r="BB56" s="64">
        <v>8600</v>
      </c>
      <c r="BC56" s="86"/>
      <c r="BD56" s="87"/>
      <c r="BE56" s="30"/>
      <c r="BF56" s="104"/>
      <c r="BG56" s="105"/>
      <c r="BH56" s="109"/>
      <c r="BI56" s="109"/>
      <c r="BJ56" s="109"/>
    </row>
    <row r="57" spans="2:62" ht="37.5" customHeight="1" thickBot="1" x14ac:dyDescent="0.3">
      <c r="B57" s="6" t="s">
        <v>67</v>
      </c>
      <c r="C57" s="6" t="s">
        <v>114</v>
      </c>
      <c r="D57" s="7">
        <f>D58+D62+D63+D64</f>
        <v>3009800</v>
      </c>
      <c r="E57" s="7">
        <f>E58+E62+E63+E64</f>
        <v>2718100</v>
      </c>
      <c r="F57" s="49">
        <f>F58+F59+F62+F63+F64</f>
        <v>2686441.21</v>
      </c>
      <c r="G57" s="45">
        <f t="shared" ref="G57:BE57" si="101">G58+G62+G63+G64</f>
        <v>2932</v>
      </c>
      <c r="H57" s="45">
        <f t="shared" si="101"/>
        <v>0</v>
      </c>
      <c r="I57" s="89">
        <f t="shared" si="101"/>
        <v>222157.23</v>
      </c>
      <c r="J57" s="89">
        <f t="shared" si="101"/>
        <v>245</v>
      </c>
      <c r="K57" s="90">
        <f t="shared" si="101"/>
        <v>607</v>
      </c>
      <c r="L57" s="88">
        <f>L58+L62+L63+L64</f>
        <v>60448</v>
      </c>
      <c r="M57" s="89">
        <f t="shared" si="101"/>
        <v>0</v>
      </c>
      <c r="N57" s="90">
        <f t="shared" si="101"/>
        <v>229</v>
      </c>
      <c r="O57" s="88">
        <f t="shared" si="101"/>
        <v>71378</v>
      </c>
      <c r="P57" s="89">
        <f t="shared" si="101"/>
        <v>0</v>
      </c>
      <c r="Q57" s="90">
        <f t="shared" si="101"/>
        <v>378</v>
      </c>
      <c r="R57" s="88">
        <f t="shared" si="101"/>
        <v>90331.23</v>
      </c>
      <c r="S57" s="89">
        <f t="shared" si="101"/>
        <v>245</v>
      </c>
      <c r="T57" s="90">
        <f t="shared" si="101"/>
        <v>0</v>
      </c>
      <c r="U57" s="89">
        <f t="shared" si="101"/>
        <v>1092916.1000000001</v>
      </c>
      <c r="V57" s="89">
        <f t="shared" si="101"/>
        <v>0</v>
      </c>
      <c r="W57" s="90">
        <f t="shared" si="101"/>
        <v>0</v>
      </c>
      <c r="X57" s="88">
        <f t="shared" si="101"/>
        <v>103568.01000000001</v>
      </c>
      <c r="Y57" s="89">
        <f t="shared" si="101"/>
        <v>471</v>
      </c>
      <c r="Z57" s="90">
        <f t="shared" si="101"/>
        <v>0</v>
      </c>
      <c r="AA57" s="88">
        <f t="shared" si="101"/>
        <v>63803</v>
      </c>
      <c r="AB57" s="89">
        <f t="shared" si="101"/>
        <v>0</v>
      </c>
      <c r="AC57" s="90">
        <f t="shared" si="101"/>
        <v>0</v>
      </c>
      <c r="AD57" s="88">
        <f t="shared" si="101"/>
        <v>925545.09</v>
      </c>
      <c r="AE57" s="89">
        <f t="shared" si="101"/>
        <v>252</v>
      </c>
      <c r="AF57" s="90">
        <f t="shared" si="101"/>
        <v>0</v>
      </c>
      <c r="AG57" s="89">
        <f t="shared" si="101"/>
        <v>281498.83</v>
      </c>
      <c r="AH57" s="89">
        <f t="shared" si="101"/>
        <v>0</v>
      </c>
      <c r="AI57" s="90">
        <f t="shared" si="101"/>
        <v>0</v>
      </c>
      <c r="AJ57" s="88">
        <f t="shared" si="101"/>
        <v>85380.39</v>
      </c>
      <c r="AK57" s="89">
        <f t="shared" si="101"/>
        <v>235</v>
      </c>
      <c r="AL57" s="90">
        <f t="shared" si="101"/>
        <v>0</v>
      </c>
      <c r="AM57" s="88">
        <f t="shared" si="101"/>
        <v>108382.18</v>
      </c>
      <c r="AN57" s="89">
        <f t="shared" si="101"/>
        <v>490</v>
      </c>
      <c r="AO57" s="90">
        <f t="shared" si="101"/>
        <v>0</v>
      </c>
      <c r="AP57" s="88">
        <f t="shared" si="101"/>
        <v>87736.26</v>
      </c>
      <c r="AQ57" s="89">
        <f t="shared" si="101"/>
        <v>250</v>
      </c>
      <c r="AR57" s="90">
        <f t="shared" si="101"/>
        <v>0</v>
      </c>
      <c r="AS57" s="89">
        <f t="shared" si="101"/>
        <v>903643.05000000016</v>
      </c>
      <c r="AT57" s="89">
        <f t="shared" si="101"/>
        <v>0</v>
      </c>
      <c r="AU57" s="90">
        <f t="shared" si="101"/>
        <v>0</v>
      </c>
      <c r="AV57" s="88">
        <f t="shared" si="101"/>
        <v>120316.23</v>
      </c>
      <c r="AW57" s="89">
        <f t="shared" si="101"/>
        <v>266</v>
      </c>
      <c r="AX57" s="90">
        <f t="shared" si="101"/>
        <v>0</v>
      </c>
      <c r="AY57" s="88">
        <f t="shared" si="101"/>
        <v>120984.71</v>
      </c>
      <c r="AZ57" s="89">
        <f t="shared" si="101"/>
        <v>247</v>
      </c>
      <c r="BA57" s="90">
        <f t="shared" si="101"/>
        <v>0</v>
      </c>
      <c r="BB57" s="88">
        <f>BB58+BB59+BB62+BB63+BB64</f>
        <v>764318.1100000001</v>
      </c>
      <c r="BC57" s="89">
        <f t="shared" si="101"/>
        <v>476</v>
      </c>
      <c r="BD57" s="90">
        <f t="shared" si="101"/>
        <v>0</v>
      </c>
      <c r="BE57" s="7">
        <f t="shared" si="101"/>
        <v>0</v>
      </c>
      <c r="BF57" s="102">
        <v>592875</v>
      </c>
      <c r="BG57" s="103">
        <f>I57+U57</f>
        <v>1315073.33</v>
      </c>
      <c r="BH57" s="108">
        <f>(BG57+AG57)-BF57</f>
        <v>1003697.1600000001</v>
      </c>
      <c r="BI57" s="108">
        <v>0</v>
      </c>
      <c r="BJ57" s="108"/>
    </row>
    <row r="58" spans="2:62" s="1" customFormat="1" ht="25.5" customHeight="1" x14ac:dyDescent="0.25">
      <c r="B58" s="32"/>
      <c r="C58" s="33" t="s">
        <v>77</v>
      </c>
      <c r="D58" s="11">
        <v>1312000</v>
      </c>
      <c r="E58" s="11">
        <f>864148+192752</f>
        <v>1056900</v>
      </c>
      <c r="F58" s="24">
        <f>L58+O58+R58+X58+AA58+AD58+AJ58+AM58+AP58+AV58+AY58+BB58</f>
        <v>863405.79999999993</v>
      </c>
      <c r="G58" s="11">
        <f t="shared" ref="G58:H58" si="102">G59+G60+G61</f>
        <v>0</v>
      </c>
      <c r="H58" s="11">
        <f t="shared" si="102"/>
        <v>0</v>
      </c>
      <c r="I58" s="92">
        <f t="shared" ref="I58:K59" si="103">L58+O58+R58</f>
        <v>188474</v>
      </c>
      <c r="J58" s="92">
        <f t="shared" si="103"/>
        <v>0</v>
      </c>
      <c r="K58" s="92">
        <f t="shared" si="103"/>
        <v>607</v>
      </c>
      <c r="L58" s="91">
        <v>57298</v>
      </c>
      <c r="M58" s="92">
        <f t="shared" ref="M58" si="104">M59+M60+M61</f>
        <v>0</v>
      </c>
      <c r="N58" s="93">
        <v>229</v>
      </c>
      <c r="O58" s="91">
        <v>68228</v>
      </c>
      <c r="P58" s="92">
        <f t="shared" ref="P58" si="105">P59+P60+P61</f>
        <v>0</v>
      </c>
      <c r="Q58" s="93">
        <v>378</v>
      </c>
      <c r="R58" s="91">
        <v>62948</v>
      </c>
      <c r="S58" s="92">
        <f t="shared" ref="S58" si="106">S59+S60+S61</f>
        <v>0</v>
      </c>
      <c r="T58" s="93">
        <f t="shared" ref="T58" si="107">T59+T60+T61</f>
        <v>0</v>
      </c>
      <c r="U58" s="92">
        <f>X58+AA58+AD58</f>
        <v>185984</v>
      </c>
      <c r="V58" s="92">
        <f t="shared" ref="V58:W58" si="108">Y58+AB58+AE58</f>
        <v>0</v>
      </c>
      <c r="W58" s="92">
        <f t="shared" si="108"/>
        <v>0</v>
      </c>
      <c r="X58" s="91">
        <v>62338</v>
      </c>
      <c r="Y58" s="92"/>
      <c r="Z58" s="93">
        <f t="shared" ref="Z58:AF58" si="109">Z59+Z60+Z61</f>
        <v>0</v>
      </c>
      <c r="AA58" s="91">
        <v>60653</v>
      </c>
      <c r="AB58" s="92"/>
      <c r="AC58" s="93">
        <f t="shared" si="109"/>
        <v>0</v>
      </c>
      <c r="AD58" s="91">
        <v>62993</v>
      </c>
      <c r="AE58" s="92"/>
      <c r="AF58" s="93">
        <f t="shared" si="109"/>
        <v>0</v>
      </c>
      <c r="AG58" s="92">
        <f>AJ58+AM58+AP58</f>
        <v>190067</v>
      </c>
      <c r="AH58" s="92">
        <f t="shared" ref="AH58:AI58" si="110">AK58+AN58+AQ58</f>
        <v>0</v>
      </c>
      <c r="AI58" s="92">
        <f t="shared" si="110"/>
        <v>0</v>
      </c>
      <c r="AJ58" s="91">
        <v>63163</v>
      </c>
      <c r="AK58" s="92"/>
      <c r="AL58" s="93"/>
      <c r="AM58" s="91">
        <v>62223</v>
      </c>
      <c r="AN58" s="92"/>
      <c r="AO58" s="93"/>
      <c r="AP58" s="91">
        <v>64681</v>
      </c>
      <c r="AQ58" s="92"/>
      <c r="AR58" s="93"/>
      <c r="AS58" s="92">
        <f>AV58+AY58+BB58</f>
        <v>298880.8</v>
      </c>
      <c r="AT58" s="92">
        <f t="shared" ref="AT58:AU58" si="111">AW58+AZ58+BC58</f>
        <v>0</v>
      </c>
      <c r="AU58" s="92">
        <f t="shared" si="111"/>
        <v>0</v>
      </c>
      <c r="AV58" s="91">
        <v>92217.09</v>
      </c>
      <c r="AW58" s="92"/>
      <c r="AX58" s="93"/>
      <c r="AY58" s="91">
        <v>97242.71</v>
      </c>
      <c r="AZ58" s="92"/>
      <c r="BA58" s="93"/>
      <c r="BB58" s="91">
        <v>109421</v>
      </c>
      <c r="BC58" s="92"/>
      <c r="BD58" s="93"/>
      <c r="BE58" s="16"/>
      <c r="BF58" s="102"/>
      <c r="BG58" s="103"/>
      <c r="BH58" s="108"/>
      <c r="BI58" s="108"/>
      <c r="BJ58" s="108"/>
    </row>
    <row r="59" spans="2:62" s="1" customFormat="1" ht="48.75" customHeight="1" x14ac:dyDescent="0.25">
      <c r="B59" s="34"/>
      <c r="C59" s="14" t="s">
        <v>76</v>
      </c>
      <c r="D59" s="11">
        <v>250000</v>
      </c>
      <c r="E59" s="24">
        <v>192752</v>
      </c>
      <c r="F59" s="24">
        <f>L59+O59+R59+X59+AA59+AD59+AJ59+AM59+AP59+AV59+AY59+BB59</f>
        <v>186226</v>
      </c>
      <c r="G59" s="47">
        <f>M59+P59+S59+Y59+AB59+AE59+AK59+AN59+AQ59+AW59+AZ59+BC59</f>
        <v>0</v>
      </c>
      <c r="H59" s="47">
        <f>N59+Q59+T59+Z59+AC59+AF59+AL59+AO59+AR59+AX59+BA59+BD59</f>
        <v>0</v>
      </c>
      <c r="I59" s="92">
        <f t="shared" si="103"/>
        <v>0</v>
      </c>
      <c r="J59" s="92">
        <f t="shared" si="103"/>
        <v>0</v>
      </c>
      <c r="K59" s="92">
        <f t="shared" si="103"/>
        <v>0</v>
      </c>
      <c r="L59" s="63">
        <v>0</v>
      </c>
      <c r="M59" s="82"/>
      <c r="N59" s="83"/>
      <c r="O59" s="63">
        <v>0</v>
      </c>
      <c r="P59" s="82"/>
      <c r="Q59" s="83"/>
      <c r="R59" s="63"/>
      <c r="S59" s="82"/>
      <c r="T59" s="83"/>
      <c r="U59" s="92">
        <f t="shared" ref="U59:U62" si="112">X59+AA59+AD59</f>
        <v>0</v>
      </c>
      <c r="V59" s="92">
        <f t="shared" ref="V59:V62" si="113">Y59+AB59+AE59</f>
        <v>0</v>
      </c>
      <c r="W59" s="92">
        <f t="shared" ref="W59:W62" si="114">Z59+AC59+AF59</f>
        <v>0</v>
      </c>
      <c r="X59" s="63">
        <v>0</v>
      </c>
      <c r="Y59" s="82"/>
      <c r="Z59" s="83"/>
      <c r="AA59" s="63">
        <v>0</v>
      </c>
      <c r="AB59" s="82"/>
      <c r="AC59" s="83"/>
      <c r="AD59" s="63"/>
      <c r="AE59" s="82"/>
      <c r="AF59" s="83"/>
      <c r="AG59" s="92">
        <f t="shared" ref="AG59:AG62" si="115">AJ59+AM59+AP59</f>
        <v>0</v>
      </c>
      <c r="AH59" s="92">
        <f t="shared" ref="AH59:AH62" si="116">AK59+AN59+AQ59</f>
        <v>0</v>
      </c>
      <c r="AI59" s="92">
        <f t="shared" ref="AI59:AI62" si="117">AL59+AO59+AR59</f>
        <v>0</v>
      </c>
      <c r="AJ59" s="63"/>
      <c r="AK59" s="82"/>
      <c r="AL59" s="83"/>
      <c r="AM59" s="63"/>
      <c r="AN59" s="82">
        <v>0</v>
      </c>
      <c r="AO59" s="83">
        <v>0</v>
      </c>
      <c r="AP59" s="63"/>
      <c r="AQ59" s="82">
        <v>0</v>
      </c>
      <c r="AR59" s="83">
        <v>0</v>
      </c>
      <c r="AS59" s="92">
        <f t="shared" ref="AS59:AS62" si="118">AV59+AY59+BB59</f>
        <v>186226</v>
      </c>
      <c r="AT59" s="92">
        <f t="shared" ref="AT59:AT62" si="119">AW59+AZ59+BC59</f>
        <v>0</v>
      </c>
      <c r="AU59" s="92">
        <f t="shared" ref="AU59:AU62" si="120">AX59+BA59+BD59</f>
        <v>0</v>
      </c>
      <c r="AV59" s="63"/>
      <c r="AW59" s="82"/>
      <c r="AX59" s="83"/>
      <c r="AY59" s="63">
        <v>84250</v>
      </c>
      <c r="AZ59" s="82"/>
      <c r="BA59" s="83"/>
      <c r="BB59" s="63">
        <f>36316+65660</f>
        <v>101976</v>
      </c>
      <c r="BC59" s="82"/>
      <c r="BD59" s="83"/>
      <c r="BE59" s="17"/>
      <c r="BF59" s="102"/>
      <c r="BG59" s="103"/>
      <c r="BH59" s="108"/>
      <c r="BI59" s="108"/>
      <c r="BJ59" s="108"/>
    </row>
    <row r="60" spans="2:62" s="1" customFormat="1" hidden="1" x14ac:dyDescent="0.25">
      <c r="B60" s="34"/>
      <c r="C60" s="14" t="s">
        <v>39</v>
      </c>
      <c r="D60" s="124">
        <v>460000</v>
      </c>
      <c r="E60" s="125">
        <v>460000</v>
      </c>
      <c r="F60" s="24"/>
      <c r="G60" s="47"/>
      <c r="H60" s="47"/>
      <c r="I60" s="92">
        <f t="shared" ref="I60:I62" si="121">L60+O60+R60</f>
        <v>0</v>
      </c>
      <c r="J60" s="92">
        <f t="shared" ref="J60:J62" si="122">M60+P60+S60</f>
        <v>0</v>
      </c>
      <c r="K60" s="92">
        <f t="shared" ref="K60:K62" si="123">N60+Q60+T60</f>
        <v>0</v>
      </c>
      <c r="L60" s="63"/>
      <c r="M60" s="82"/>
      <c r="N60" s="83"/>
      <c r="O60" s="63">
        <v>0</v>
      </c>
      <c r="P60" s="82"/>
      <c r="Q60" s="83"/>
      <c r="R60" s="63"/>
      <c r="S60" s="82"/>
      <c r="T60" s="83"/>
      <c r="U60" s="92">
        <f t="shared" si="112"/>
        <v>0</v>
      </c>
      <c r="V60" s="92">
        <f t="shared" si="113"/>
        <v>0</v>
      </c>
      <c r="W60" s="92">
        <f t="shared" si="114"/>
        <v>0</v>
      </c>
      <c r="X60" s="63">
        <v>0</v>
      </c>
      <c r="Y60" s="82"/>
      <c r="Z60" s="83"/>
      <c r="AA60" s="63">
        <v>0</v>
      </c>
      <c r="AB60" s="82"/>
      <c r="AC60" s="83"/>
      <c r="AD60" s="63">
        <v>0</v>
      </c>
      <c r="AE60" s="82"/>
      <c r="AF60" s="83"/>
      <c r="AG60" s="92">
        <f t="shared" si="115"/>
        <v>0</v>
      </c>
      <c r="AH60" s="92">
        <f t="shared" si="116"/>
        <v>0</v>
      </c>
      <c r="AI60" s="92">
        <f t="shared" si="117"/>
        <v>0</v>
      </c>
      <c r="AJ60" s="63">
        <v>0</v>
      </c>
      <c r="AK60" s="82"/>
      <c r="AL60" s="83"/>
      <c r="AM60" s="63">
        <v>0</v>
      </c>
      <c r="AN60" s="82"/>
      <c r="AO60" s="83"/>
      <c r="AP60" s="63">
        <v>0</v>
      </c>
      <c r="AQ60" s="82"/>
      <c r="AR60" s="83"/>
      <c r="AS60" s="92">
        <f t="shared" si="118"/>
        <v>0</v>
      </c>
      <c r="AT60" s="92">
        <f t="shared" si="119"/>
        <v>0</v>
      </c>
      <c r="AU60" s="92">
        <f t="shared" si="120"/>
        <v>0</v>
      </c>
      <c r="AV60" s="63"/>
      <c r="AW60" s="82"/>
      <c r="AX60" s="83"/>
      <c r="AY60" s="63"/>
      <c r="AZ60" s="82"/>
      <c r="BA60" s="83"/>
      <c r="BB60" s="63"/>
      <c r="BC60" s="82"/>
      <c r="BD60" s="83"/>
      <c r="BE60" s="23"/>
      <c r="BF60" s="102"/>
      <c r="BG60" s="103"/>
      <c r="BH60" s="108"/>
      <c r="BI60" s="108"/>
      <c r="BJ60" s="108"/>
    </row>
    <row r="61" spans="2:62" s="1" customFormat="1" ht="30" hidden="1" x14ac:dyDescent="0.25">
      <c r="B61" s="34"/>
      <c r="C61" s="33" t="s">
        <v>38</v>
      </c>
      <c r="D61" s="124">
        <v>675000</v>
      </c>
      <c r="E61" s="125">
        <v>675000</v>
      </c>
      <c r="F61" s="24">
        <f t="shared" ref="F61:F74" si="124">L61+O61+R61+X61+AA61+AD61+AJ61+AM61+AP61+AV61+AY61+BB61</f>
        <v>0</v>
      </c>
      <c r="G61" s="47">
        <f t="shared" ref="G61:G74" si="125">M61+P61+S61+Y61+AB61+AE61+AK61+AN61+AQ61+AW61+AZ61+BC61</f>
        <v>0</v>
      </c>
      <c r="H61" s="47">
        <f t="shared" ref="H61:H74" si="126">N61+Q61+T61+Z61+AC61+AF61+AL61+AO61+AR61+AX61+BA61+BD61</f>
        <v>0</v>
      </c>
      <c r="I61" s="92">
        <f t="shared" si="121"/>
        <v>0</v>
      </c>
      <c r="J61" s="92">
        <f t="shared" si="122"/>
        <v>0</v>
      </c>
      <c r="K61" s="92">
        <f t="shared" si="123"/>
        <v>0</v>
      </c>
      <c r="L61" s="63"/>
      <c r="M61" s="82"/>
      <c r="N61" s="83"/>
      <c r="O61" s="63">
        <v>0</v>
      </c>
      <c r="P61" s="82"/>
      <c r="Q61" s="83"/>
      <c r="R61" s="63"/>
      <c r="S61" s="82"/>
      <c r="T61" s="83"/>
      <c r="U61" s="92">
        <f t="shared" si="112"/>
        <v>0</v>
      </c>
      <c r="V61" s="92">
        <f t="shared" si="113"/>
        <v>0</v>
      </c>
      <c r="W61" s="92">
        <f t="shared" si="114"/>
        <v>0</v>
      </c>
      <c r="X61" s="63">
        <v>0</v>
      </c>
      <c r="Y61" s="82"/>
      <c r="Z61" s="83"/>
      <c r="AA61" s="63">
        <v>0</v>
      </c>
      <c r="AB61" s="82"/>
      <c r="AC61" s="83"/>
      <c r="AD61" s="63">
        <v>0</v>
      </c>
      <c r="AE61" s="82"/>
      <c r="AF61" s="83"/>
      <c r="AG61" s="92">
        <f t="shared" si="115"/>
        <v>0</v>
      </c>
      <c r="AH61" s="92">
        <f t="shared" si="116"/>
        <v>0</v>
      </c>
      <c r="AI61" s="92">
        <f t="shared" si="117"/>
        <v>0</v>
      </c>
      <c r="AJ61" s="63">
        <v>0</v>
      </c>
      <c r="AK61" s="82"/>
      <c r="AL61" s="83"/>
      <c r="AM61" s="63">
        <v>0</v>
      </c>
      <c r="AN61" s="82"/>
      <c r="AO61" s="83"/>
      <c r="AP61" s="63">
        <v>0</v>
      </c>
      <c r="AQ61" s="82"/>
      <c r="AR61" s="83"/>
      <c r="AS61" s="92">
        <f t="shared" si="118"/>
        <v>0</v>
      </c>
      <c r="AT61" s="92">
        <f t="shared" si="119"/>
        <v>0</v>
      </c>
      <c r="AU61" s="92">
        <f t="shared" si="120"/>
        <v>0</v>
      </c>
      <c r="AV61" s="63"/>
      <c r="AW61" s="82"/>
      <c r="AX61" s="83"/>
      <c r="AY61" s="63"/>
      <c r="AZ61" s="82"/>
      <c r="BA61" s="83"/>
      <c r="BB61" s="63"/>
      <c r="BC61" s="82"/>
      <c r="BD61" s="83"/>
      <c r="BE61" s="16"/>
      <c r="BF61" s="102"/>
      <c r="BG61" s="103"/>
      <c r="BH61" s="108"/>
      <c r="BI61" s="108"/>
      <c r="BJ61" s="108"/>
    </row>
    <row r="62" spans="2:62" s="1" customFormat="1" ht="22.5" customHeight="1" x14ac:dyDescent="0.25">
      <c r="B62" s="34"/>
      <c r="C62" s="33" t="s">
        <v>53</v>
      </c>
      <c r="D62" s="11">
        <v>37800</v>
      </c>
      <c r="E62" s="24">
        <v>37800</v>
      </c>
      <c r="F62" s="24">
        <f t="shared" si="124"/>
        <v>37800</v>
      </c>
      <c r="G62" s="47">
        <f t="shared" si="125"/>
        <v>0</v>
      </c>
      <c r="H62" s="47">
        <f t="shared" si="126"/>
        <v>0</v>
      </c>
      <c r="I62" s="92">
        <f t="shared" si="121"/>
        <v>9450</v>
      </c>
      <c r="J62" s="92">
        <f t="shared" si="122"/>
        <v>0</v>
      </c>
      <c r="K62" s="92">
        <f t="shared" si="123"/>
        <v>0</v>
      </c>
      <c r="L62" s="63">
        <v>3150</v>
      </c>
      <c r="M62" s="82"/>
      <c r="N62" s="83"/>
      <c r="O62" s="63">
        <v>3150</v>
      </c>
      <c r="P62" s="82"/>
      <c r="Q62" s="83"/>
      <c r="R62" s="63">
        <v>3150</v>
      </c>
      <c r="S62" s="82"/>
      <c r="T62" s="83"/>
      <c r="U62" s="92">
        <f t="shared" si="112"/>
        <v>9450</v>
      </c>
      <c r="V62" s="92">
        <f t="shared" si="113"/>
        <v>0</v>
      </c>
      <c r="W62" s="92">
        <f t="shared" si="114"/>
        <v>0</v>
      </c>
      <c r="X62" s="63">
        <v>3150</v>
      </c>
      <c r="Y62" s="82"/>
      <c r="Z62" s="83"/>
      <c r="AA62" s="63">
        <v>3150</v>
      </c>
      <c r="AB62" s="82"/>
      <c r="AC62" s="83"/>
      <c r="AD62" s="63">
        <v>3150</v>
      </c>
      <c r="AE62" s="82"/>
      <c r="AF62" s="83"/>
      <c r="AG62" s="92">
        <f t="shared" si="115"/>
        <v>9450</v>
      </c>
      <c r="AH62" s="92">
        <f t="shared" si="116"/>
        <v>0</v>
      </c>
      <c r="AI62" s="92">
        <f t="shared" si="117"/>
        <v>0</v>
      </c>
      <c r="AJ62" s="63">
        <v>3150</v>
      </c>
      <c r="AK62" s="82"/>
      <c r="AL62" s="83"/>
      <c r="AM62" s="63">
        <v>3150</v>
      </c>
      <c r="AN62" s="82"/>
      <c r="AO62" s="83"/>
      <c r="AP62" s="63">
        <v>3150</v>
      </c>
      <c r="AQ62" s="82"/>
      <c r="AR62" s="83"/>
      <c r="AS62" s="92">
        <f t="shared" si="118"/>
        <v>9450</v>
      </c>
      <c r="AT62" s="92">
        <f t="shared" si="119"/>
        <v>0</v>
      </c>
      <c r="AU62" s="92">
        <f t="shared" si="120"/>
        <v>0</v>
      </c>
      <c r="AV62" s="63">
        <v>3150</v>
      </c>
      <c r="AW62" s="82"/>
      <c r="AX62" s="83"/>
      <c r="AY62" s="63">
        <v>3150</v>
      </c>
      <c r="AZ62" s="82"/>
      <c r="BA62" s="83"/>
      <c r="BB62" s="63">
        <v>3150</v>
      </c>
      <c r="BC62" s="82"/>
      <c r="BD62" s="83"/>
      <c r="BE62" s="16"/>
      <c r="BF62" s="102"/>
      <c r="BG62" s="103"/>
      <c r="BH62" s="108"/>
      <c r="BI62" s="108"/>
      <c r="BJ62" s="108"/>
    </row>
    <row r="63" spans="2:62" s="1" customFormat="1" ht="38.25" customHeight="1" x14ac:dyDescent="0.25">
      <c r="B63" s="34"/>
      <c r="C63" s="44" t="s">
        <v>83</v>
      </c>
      <c r="D63" s="42">
        <v>1250000</v>
      </c>
      <c r="E63" s="52">
        <v>1343400</v>
      </c>
      <c r="F63" s="52">
        <f t="shared" si="124"/>
        <v>1343355.02</v>
      </c>
      <c r="G63" s="54">
        <f t="shared" si="125"/>
        <v>0</v>
      </c>
      <c r="H63" s="54">
        <f t="shared" si="126"/>
        <v>0</v>
      </c>
      <c r="I63" s="94">
        <v>0</v>
      </c>
      <c r="J63" s="94">
        <v>0</v>
      </c>
      <c r="K63" s="95">
        <v>0</v>
      </c>
      <c r="L63" s="65">
        <v>0</v>
      </c>
      <c r="M63" s="94"/>
      <c r="N63" s="95"/>
      <c r="O63" s="65">
        <v>0</v>
      </c>
      <c r="P63" s="94"/>
      <c r="Q63" s="95"/>
      <c r="R63" s="65">
        <v>0</v>
      </c>
      <c r="S63" s="94"/>
      <c r="T63" s="95"/>
      <c r="U63" s="94">
        <v>835129.86</v>
      </c>
      <c r="V63" s="94"/>
      <c r="W63" s="95">
        <v>0</v>
      </c>
      <c r="X63" s="65">
        <v>0</v>
      </c>
      <c r="Y63" s="94"/>
      <c r="Z63" s="95"/>
      <c r="AA63" s="65">
        <v>0</v>
      </c>
      <c r="AB63" s="94"/>
      <c r="AC63" s="95"/>
      <c r="AD63" s="65">
        <v>835129.86</v>
      </c>
      <c r="AE63" s="94"/>
      <c r="AF63" s="95"/>
      <c r="AG63" s="94">
        <v>0</v>
      </c>
      <c r="AH63" s="94"/>
      <c r="AI63" s="95">
        <v>0</v>
      </c>
      <c r="AJ63" s="65"/>
      <c r="AK63" s="94"/>
      <c r="AL63" s="95"/>
      <c r="AM63" s="65"/>
      <c r="AN63" s="94"/>
      <c r="AO63" s="95"/>
      <c r="AP63" s="65"/>
      <c r="AQ63" s="94"/>
      <c r="AR63" s="95"/>
      <c r="AS63" s="94">
        <v>508225.16</v>
      </c>
      <c r="AT63" s="94"/>
      <c r="AU63" s="95">
        <v>0</v>
      </c>
      <c r="AV63" s="65"/>
      <c r="AW63" s="94"/>
      <c r="AX63" s="95"/>
      <c r="AY63" s="65"/>
      <c r="AZ63" s="94"/>
      <c r="BA63" s="95"/>
      <c r="BB63" s="65">
        <v>508225.16</v>
      </c>
      <c r="BC63" s="94"/>
      <c r="BD63" s="95"/>
      <c r="BE63" s="43"/>
      <c r="BF63" s="102"/>
      <c r="BG63" s="103"/>
      <c r="BH63" s="108"/>
      <c r="BI63" s="108"/>
      <c r="BJ63" s="108"/>
    </row>
    <row r="64" spans="2:62" s="1" customFormat="1" ht="57.75" customHeight="1" thickBot="1" x14ac:dyDescent="0.3">
      <c r="B64" s="34"/>
      <c r="C64" s="44" t="s">
        <v>82</v>
      </c>
      <c r="D64" s="42">
        <v>410000</v>
      </c>
      <c r="E64" s="52">
        <v>280000</v>
      </c>
      <c r="F64" s="52">
        <f t="shared" si="124"/>
        <v>255654.39000000016</v>
      </c>
      <c r="G64" s="54">
        <f t="shared" si="125"/>
        <v>2932</v>
      </c>
      <c r="H64" s="54">
        <f t="shared" si="126"/>
        <v>0</v>
      </c>
      <c r="I64" s="94">
        <v>24233.23</v>
      </c>
      <c r="J64" s="94">
        <v>245</v>
      </c>
      <c r="K64" s="95">
        <v>0</v>
      </c>
      <c r="L64" s="65">
        <v>0</v>
      </c>
      <c r="M64" s="94"/>
      <c r="N64" s="95"/>
      <c r="O64" s="65">
        <v>0</v>
      </c>
      <c r="P64" s="94"/>
      <c r="Q64" s="95"/>
      <c r="R64" s="65">
        <v>24233.23</v>
      </c>
      <c r="S64" s="94">
        <v>245</v>
      </c>
      <c r="T64" s="95"/>
      <c r="U64" s="94">
        <v>62352.240000000005</v>
      </c>
      <c r="V64" s="94"/>
      <c r="W64" s="95">
        <v>0</v>
      </c>
      <c r="X64" s="65">
        <v>38080.01</v>
      </c>
      <c r="Y64" s="94">
        <v>471</v>
      </c>
      <c r="Z64" s="95"/>
      <c r="AA64" s="65">
        <v>0</v>
      </c>
      <c r="AB64" s="94"/>
      <c r="AC64" s="95"/>
      <c r="AD64" s="65">
        <v>24272.23</v>
      </c>
      <c r="AE64" s="94">
        <v>252</v>
      </c>
      <c r="AF64" s="95"/>
      <c r="AG64" s="94">
        <v>81981.83</v>
      </c>
      <c r="AH64" s="94"/>
      <c r="AI64" s="95">
        <v>0</v>
      </c>
      <c r="AJ64" s="65">
        <v>19067.39</v>
      </c>
      <c r="AK64" s="94">
        <v>235</v>
      </c>
      <c r="AL64" s="95"/>
      <c r="AM64" s="65">
        <v>43009.18</v>
      </c>
      <c r="AN64" s="94">
        <v>490</v>
      </c>
      <c r="AO64" s="95"/>
      <c r="AP64" s="65">
        <v>19905.259999999998</v>
      </c>
      <c r="AQ64" s="94">
        <v>250</v>
      </c>
      <c r="AR64" s="95"/>
      <c r="AS64" s="94">
        <v>87087.090000000157</v>
      </c>
      <c r="AT64" s="94"/>
      <c r="AU64" s="95">
        <v>0</v>
      </c>
      <c r="AV64" s="65">
        <v>24949.14</v>
      </c>
      <c r="AW64" s="94">
        <v>266</v>
      </c>
      <c r="AX64" s="95"/>
      <c r="AY64" s="65">
        <v>20592</v>
      </c>
      <c r="AZ64" s="94">
        <v>247</v>
      </c>
      <c r="BA64" s="95"/>
      <c r="BB64" s="65">
        <v>41545.950000000157</v>
      </c>
      <c r="BC64" s="94">
        <v>476</v>
      </c>
      <c r="BD64" s="95"/>
      <c r="BE64" s="43"/>
      <c r="BF64" s="102"/>
      <c r="BG64" s="103"/>
      <c r="BH64" s="108"/>
      <c r="BI64" s="108"/>
      <c r="BJ64" s="108"/>
    </row>
    <row r="65" spans="2:62" ht="37.5" customHeight="1" thickBot="1" x14ac:dyDescent="0.3">
      <c r="B65" s="6" t="s">
        <v>68</v>
      </c>
      <c r="C65" s="6" t="s">
        <v>115</v>
      </c>
      <c r="D65" s="7">
        <f>D66+D68</f>
        <v>6295000</v>
      </c>
      <c r="E65" s="7">
        <f>E66+E68</f>
        <v>5211325</v>
      </c>
      <c r="F65" s="60">
        <f>L65+O65+R65+X65+AA65+AD65+AJ65+AM65+AP65+AV65+AY65+BB65</f>
        <v>5182925.03</v>
      </c>
      <c r="G65" s="48">
        <f t="shared" si="125"/>
        <v>0</v>
      </c>
      <c r="H65" s="48">
        <f t="shared" si="126"/>
        <v>22128</v>
      </c>
      <c r="I65" s="76">
        <f t="shared" si="16"/>
        <v>110426.87999999998</v>
      </c>
      <c r="J65" s="76">
        <f t="shared" si="16"/>
        <v>0</v>
      </c>
      <c r="K65" s="77">
        <f t="shared" si="16"/>
        <v>2887</v>
      </c>
      <c r="L65" s="75">
        <f>L66+L67+L68</f>
        <v>0</v>
      </c>
      <c r="M65" s="76">
        <f>M66+M67+M68</f>
        <v>0</v>
      </c>
      <c r="N65" s="77">
        <f t="shared" ref="N65:T65" si="127">N66+N67+N68</f>
        <v>0</v>
      </c>
      <c r="O65" s="75">
        <f>O66+O67+O68</f>
        <v>57636.879999999983</v>
      </c>
      <c r="P65" s="76">
        <f>P66+P67+P68</f>
        <v>0</v>
      </c>
      <c r="Q65" s="77">
        <f t="shared" si="127"/>
        <v>0</v>
      </c>
      <c r="R65" s="75">
        <f t="shared" si="127"/>
        <v>52790</v>
      </c>
      <c r="S65" s="76">
        <f t="shared" si="127"/>
        <v>0</v>
      </c>
      <c r="T65" s="77">
        <f t="shared" si="127"/>
        <v>2887</v>
      </c>
      <c r="U65" s="76">
        <f t="shared" si="42"/>
        <v>183009.86</v>
      </c>
      <c r="V65" s="76">
        <f>M65+P65+S65</f>
        <v>0</v>
      </c>
      <c r="W65" s="77">
        <f t="shared" ref="W65:W83" si="128">Z65+AC65+AF65</f>
        <v>9916</v>
      </c>
      <c r="X65" s="75">
        <f>X66+X67+X68</f>
        <v>57464.81</v>
      </c>
      <c r="Y65" s="76">
        <f t="shared" ref="Y65:AF65" si="129">Y66+Y67+Y68</f>
        <v>0</v>
      </c>
      <c r="Z65" s="77">
        <f t="shared" si="129"/>
        <v>3142</v>
      </c>
      <c r="AA65" s="75">
        <f t="shared" si="129"/>
        <v>62374.720000000001</v>
      </c>
      <c r="AB65" s="76">
        <f t="shared" si="129"/>
        <v>0</v>
      </c>
      <c r="AC65" s="77">
        <f t="shared" si="129"/>
        <v>3384</v>
      </c>
      <c r="AD65" s="75">
        <f t="shared" si="129"/>
        <v>63170.33</v>
      </c>
      <c r="AE65" s="76">
        <f t="shared" si="129"/>
        <v>0</v>
      </c>
      <c r="AF65" s="77">
        <f t="shared" si="129"/>
        <v>3390</v>
      </c>
      <c r="AG65" s="76">
        <f t="shared" si="12"/>
        <v>945034.52</v>
      </c>
      <c r="AH65" s="76">
        <f>Y65+AB65+AE65</f>
        <v>0</v>
      </c>
      <c r="AI65" s="77">
        <f t="shared" si="13"/>
        <v>9325</v>
      </c>
      <c r="AJ65" s="75">
        <f>SUM(AJ66:AJ68)</f>
        <v>292852.03999999998</v>
      </c>
      <c r="AK65" s="76">
        <f t="shared" ref="AK65:AR65" si="130">SUM(AK66:AK68)</f>
        <v>0</v>
      </c>
      <c r="AL65" s="77">
        <f t="shared" si="130"/>
        <v>3067</v>
      </c>
      <c r="AM65" s="75">
        <f t="shared" si="130"/>
        <v>56381.85</v>
      </c>
      <c r="AN65" s="76">
        <f t="shared" si="130"/>
        <v>0</v>
      </c>
      <c r="AO65" s="77">
        <f t="shared" si="130"/>
        <v>2949</v>
      </c>
      <c r="AP65" s="75">
        <f t="shared" si="130"/>
        <v>595800.63</v>
      </c>
      <c r="AQ65" s="76">
        <f t="shared" si="130"/>
        <v>0</v>
      </c>
      <c r="AR65" s="77">
        <f t="shared" si="130"/>
        <v>3309</v>
      </c>
      <c r="AS65" s="76">
        <f t="shared" si="33"/>
        <v>3944453.7699999996</v>
      </c>
      <c r="AT65" s="76">
        <f>AK65+AN65+AQ65</f>
        <v>0</v>
      </c>
      <c r="AU65" s="77">
        <f t="shared" si="15"/>
        <v>0</v>
      </c>
      <c r="AV65" s="75">
        <f>AV66+AV67+AV68</f>
        <v>858771.29999999993</v>
      </c>
      <c r="AW65" s="76">
        <f t="shared" ref="AW65:BD65" si="131">AW66+AW67+AW68</f>
        <v>0</v>
      </c>
      <c r="AX65" s="77">
        <f t="shared" si="131"/>
        <v>0</v>
      </c>
      <c r="AY65" s="75">
        <f t="shared" si="131"/>
        <v>2020123.56</v>
      </c>
      <c r="AZ65" s="76">
        <f t="shared" si="131"/>
        <v>0</v>
      </c>
      <c r="BA65" s="77">
        <f t="shared" si="131"/>
        <v>0</v>
      </c>
      <c r="BB65" s="88">
        <f t="shared" si="131"/>
        <v>1065558.9099999999</v>
      </c>
      <c r="BC65" s="76">
        <f t="shared" si="131"/>
        <v>0</v>
      </c>
      <c r="BD65" s="77">
        <f t="shared" si="131"/>
        <v>0</v>
      </c>
      <c r="BE65" s="8"/>
      <c r="BF65" s="102">
        <v>1041367.46</v>
      </c>
      <c r="BG65" s="103">
        <f>I65+U65</f>
        <v>293436.74</v>
      </c>
      <c r="BH65" s="108">
        <f>(BG65+AG65)-BF65</f>
        <v>197103.80000000005</v>
      </c>
      <c r="BI65" s="108">
        <v>0</v>
      </c>
      <c r="BJ65" s="108"/>
    </row>
    <row r="66" spans="2:62" s="1" customFormat="1" ht="30" x14ac:dyDescent="0.25">
      <c r="B66" s="34"/>
      <c r="C66" s="35" t="s">
        <v>81</v>
      </c>
      <c r="D66" s="11">
        <v>3880000</v>
      </c>
      <c r="E66" s="24">
        <v>3051325</v>
      </c>
      <c r="F66" s="24">
        <f>L66+O66+R66+X66+AA66+AD66+AJ66+AM66+AP66+AV66+AY66+BB66+2322927.64</f>
        <v>3023081.64</v>
      </c>
      <c r="G66" s="47">
        <f t="shared" si="125"/>
        <v>0</v>
      </c>
      <c r="H66" s="47">
        <f t="shared" si="126"/>
        <v>22128</v>
      </c>
      <c r="I66" s="92">
        <f>L66+O66+R66</f>
        <v>110426.87999999998</v>
      </c>
      <c r="J66" s="82">
        <f>M66+P66+S66</f>
        <v>0</v>
      </c>
      <c r="K66" s="83">
        <f t="shared" si="16"/>
        <v>2887</v>
      </c>
      <c r="L66" s="63">
        <v>0</v>
      </c>
      <c r="M66" s="82">
        <v>0</v>
      </c>
      <c r="N66" s="83">
        <v>0</v>
      </c>
      <c r="O66" s="63">
        <v>57636.879999999983</v>
      </c>
      <c r="P66" s="82"/>
      <c r="Q66" s="83">
        <v>0</v>
      </c>
      <c r="R66" s="63">
        <v>52790</v>
      </c>
      <c r="S66" s="82"/>
      <c r="T66" s="83">
        <v>2887</v>
      </c>
      <c r="U66" s="92">
        <f t="shared" si="42"/>
        <v>183009.86</v>
      </c>
      <c r="V66" s="82"/>
      <c r="W66" s="83">
        <f t="shared" si="128"/>
        <v>9916</v>
      </c>
      <c r="X66" s="63">
        <v>57464.81</v>
      </c>
      <c r="Y66" s="82"/>
      <c r="Z66" s="83">
        <v>3142</v>
      </c>
      <c r="AA66" s="63">
        <v>62374.720000000001</v>
      </c>
      <c r="AB66" s="82"/>
      <c r="AC66" s="83">
        <v>3384</v>
      </c>
      <c r="AD66" s="63">
        <v>63170.33</v>
      </c>
      <c r="AE66" s="82"/>
      <c r="AF66" s="83">
        <v>3390</v>
      </c>
      <c r="AG66" s="82">
        <f t="shared" si="12"/>
        <v>177815.71999999997</v>
      </c>
      <c r="AH66" s="82"/>
      <c r="AI66" s="83">
        <f t="shared" si="13"/>
        <v>9325</v>
      </c>
      <c r="AJ66" s="63">
        <v>66852.039999999994</v>
      </c>
      <c r="AK66" s="82"/>
      <c r="AL66" s="83">
        <v>3067</v>
      </c>
      <c r="AM66" s="63">
        <v>56381.85</v>
      </c>
      <c r="AN66" s="82"/>
      <c r="AO66" s="83">
        <v>2949</v>
      </c>
      <c r="AP66" s="63">
        <v>54581.83</v>
      </c>
      <c r="AQ66" s="82"/>
      <c r="AR66" s="83">
        <v>3309</v>
      </c>
      <c r="AS66" s="82">
        <f>AV66+AY66+BB66</f>
        <v>228901.53999999998</v>
      </c>
      <c r="AT66" s="82"/>
      <c r="AU66" s="83">
        <f t="shared" si="15"/>
        <v>0</v>
      </c>
      <c r="AV66" s="63">
        <v>66978.48</v>
      </c>
      <c r="AW66" s="82"/>
      <c r="AX66" s="83"/>
      <c r="AY66" s="63">
        <v>57383.97</v>
      </c>
      <c r="AZ66" s="82"/>
      <c r="BA66" s="83"/>
      <c r="BB66" s="63">
        <v>104539.09</v>
      </c>
      <c r="BC66" s="82"/>
      <c r="BD66" s="83"/>
      <c r="BE66" s="13"/>
      <c r="BF66" s="102"/>
      <c r="BG66" s="103"/>
      <c r="BH66" s="108"/>
      <c r="BI66" s="108"/>
      <c r="BJ66" s="108"/>
    </row>
    <row r="67" spans="2:62" ht="64.5" customHeight="1" x14ac:dyDescent="0.25">
      <c r="B67" s="34"/>
      <c r="C67" s="14" t="s">
        <v>80</v>
      </c>
      <c r="D67" s="11">
        <v>3000000</v>
      </c>
      <c r="E67" s="24">
        <v>2341486</v>
      </c>
      <c r="F67" s="24">
        <v>2322927.6399999997</v>
      </c>
      <c r="G67" s="47">
        <f t="shared" si="125"/>
        <v>0</v>
      </c>
      <c r="H67" s="47">
        <f t="shared" si="126"/>
        <v>0</v>
      </c>
      <c r="I67" s="82">
        <f t="shared" si="16"/>
        <v>0</v>
      </c>
      <c r="J67" s="82">
        <f t="shared" si="16"/>
        <v>0</v>
      </c>
      <c r="K67" s="83">
        <f t="shared" si="16"/>
        <v>0</v>
      </c>
      <c r="L67" s="63">
        <v>0</v>
      </c>
      <c r="M67" s="82">
        <v>0</v>
      </c>
      <c r="N67" s="83">
        <v>0</v>
      </c>
      <c r="O67" s="63">
        <v>0</v>
      </c>
      <c r="P67" s="82"/>
      <c r="Q67" s="83">
        <v>0</v>
      </c>
      <c r="R67" s="63">
        <v>0</v>
      </c>
      <c r="S67" s="82"/>
      <c r="T67" s="83">
        <v>0</v>
      </c>
      <c r="U67" s="82">
        <f t="shared" si="42"/>
        <v>0</v>
      </c>
      <c r="V67" s="82">
        <f>M67+P67+S67</f>
        <v>0</v>
      </c>
      <c r="W67" s="83">
        <f t="shared" si="128"/>
        <v>0</v>
      </c>
      <c r="X67" s="63">
        <v>0</v>
      </c>
      <c r="Y67" s="82"/>
      <c r="Z67" s="83">
        <v>0</v>
      </c>
      <c r="AA67" s="63"/>
      <c r="AB67" s="82"/>
      <c r="AC67" s="83"/>
      <c r="AD67" s="63"/>
      <c r="AE67" s="82"/>
      <c r="AF67" s="83"/>
      <c r="AG67" s="82">
        <f>AJ67+AM67+AP67</f>
        <v>570115</v>
      </c>
      <c r="AH67" s="82"/>
      <c r="AI67" s="83">
        <f t="shared" si="13"/>
        <v>0</v>
      </c>
      <c r="AJ67" s="63">
        <v>225999.99999999997</v>
      </c>
      <c r="AK67" s="82"/>
      <c r="AL67" s="83"/>
      <c r="AM67" s="63">
        <v>0</v>
      </c>
      <c r="AN67" s="82"/>
      <c r="AO67" s="83"/>
      <c r="AP67" s="63">
        <v>344115</v>
      </c>
      <c r="AQ67" s="82"/>
      <c r="AR67" s="83"/>
      <c r="AS67" s="82">
        <f t="shared" si="33"/>
        <v>1752812.64</v>
      </c>
      <c r="AT67" s="82"/>
      <c r="AU67" s="83">
        <f t="shared" si="15"/>
        <v>0</v>
      </c>
      <c r="AV67" s="63">
        <v>791792.82</v>
      </c>
      <c r="AW67" s="82"/>
      <c r="AX67" s="83"/>
      <c r="AY67" s="63"/>
      <c r="AZ67" s="82"/>
      <c r="BA67" s="83"/>
      <c r="BB67" s="63">
        <v>961019.82</v>
      </c>
      <c r="BC67" s="82"/>
      <c r="BD67" s="83"/>
      <c r="BE67" s="16"/>
      <c r="BF67" s="102"/>
      <c r="BG67" s="103"/>
      <c r="BH67" s="108"/>
      <c r="BI67" s="108"/>
      <c r="BJ67" s="108"/>
    </row>
    <row r="68" spans="2:62" ht="40.5" customHeight="1" thickBot="1" x14ac:dyDescent="0.3">
      <c r="B68" s="40"/>
      <c r="C68" s="41" t="s">
        <v>79</v>
      </c>
      <c r="D68" s="42">
        <v>2415000</v>
      </c>
      <c r="E68" s="52">
        <v>2160000</v>
      </c>
      <c r="F68" s="52">
        <f t="shared" si="124"/>
        <v>2159843.39</v>
      </c>
      <c r="G68" s="54">
        <f t="shared" si="125"/>
        <v>0</v>
      </c>
      <c r="H68" s="54">
        <f t="shared" si="126"/>
        <v>0</v>
      </c>
      <c r="I68" s="94">
        <v>0</v>
      </c>
      <c r="J68" s="94">
        <v>0</v>
      </c>
      <c r="K68" s="95">
        <v>0</v>
      </c>
      <c r="L68" s="65">
        <v>0</v>
      </c>
      <c r="M68" s="94">
        <v>0</v>
      </c>
      <c r="N68" s="95">
        <v>0</v>
      </c>
      <c r="O68" s="65">
        <v>0</v>
      </c>
      <c r="P68" s="94"/>
      <c r="Q68" s="95">
        <v>0</v>
      </c>
      <c r="R68" s="65">
        <v>0</v>
      </c>
      <c r="S68" s="94"/>
      <c r="T68" s="95">
        <v>0</v>
      </c>
      <c r="U68" s="94">
        <v>0</v>
      </c>
      <c r="V68" s="94"/>
      <c r="W68" s="95">
        <v>0</v>
      </c>
      <c r="X68" s="65">
        <v>0</v>
      </c>
      <c r="Y68" s="94"/>
      <c r="Z68" s="95">
        <v>0</v>
      </c>
      <c r="AA68" s="65"/>
      <c r="AB68" s="94"/>
      <c r="AC68" s="95"/>
      <c r="AD68" s="65"/>
      <c r="AE68" s="94"/>
      <c r="AF68" s="95"/>
      <c r="AG68" s="94">
        <v>197103.8</v>
      </c>
      <c r="AH68" s="94"/>
      <c r="AI68" s="95">
        <v>0</v>
      </c>
      <c r="AJ68" s="65"/>
      <c r="AK68" s="94"/>
      <c r="AL68" s="95"/>
      <c r="AM68" s="65"/>
      <c r="AN68" s="94"/>
      <c r="AO68" s="95"/>
      <c r="AP68" s="65">
        <v>197103.8</v>
      </c>
      <c r="AQ68" s="94"/>
      <c r="AR68" s="95"/>
      <c r="AS68" s="94">
        <v>1962739.59</v>
      </c>
      <c r="AT68" s="94"/>
      <c r="AU68" s="95">
        <v>0</v>
      </c>
      <c r="AV68" s="65"/>
      <c r="AW68" s="94"/>
      <c r="AX68" s="95"/>
      <c r="AY68" s="65">
        <v>1962739.59</v>
      </c>
      <c r="AZ68" s="126"/>
      <c r="BA68" s="95"/>
      <c r="BB68" s="65"/>
      <c r="BC68" s="94"/>
      <c r="BD68" s="95"/>
      <c r="BE68" s="43"/>
      <c r="BF68" s="102"/>
      <c r="BG68" s="103"/>
      <c r="BH68" s="108"/>
      <c r="BI68" s="108"/>
      <c r="BJ68" s="108"/>
    </row>
    <row r="69" spans="2:62" ht="37.5" customHeight="1" thickBot="1" x14ac:dyDescent="0.3">
      <c r="B69" s="6" t="s">
        <v>69</v>
      </c>
      <c r="C69" s="6" t="s">
        <v>116</v>
      </c>
      <c r="D69" s="7">
        <f>D70+D71</f>
        <v>474000</v>
      </c>
      <c r="E69" s="49">
        <f>E70+E71</f>
        <v>197500</v>
      </c>
      <c r="F69" s="60">
        <f t="shared" si="124"/>
        <v>194020.2</v>
      </c>
      <c r="G69" s="48">
        <f t="shared" si="125"/>
        <v>0</v>
      </c>
      <c r="H69" s="48">
        <f t="shared" si="126"/>
        <v>904</v>
      </c>
      <c r="I69" s="76">
        <f t="shared" si="16"/>
        <v>2505</v>
      </c>
      <c r="J69" s="76"/>
      <c r="K69" s="77">
        <f t="shared" si="16"/>
        <v>96</v>
      </c>
      <c r="L69" s="75">
        <f>SUM(L70:L71)</f>
        <v>0</v>
      </c>
      <c r="M69" s="76">
        <f t="shared" ref="M69:T69" si="132">SUM(M70:M71)</f>
        <v>0</v>
      </c>
      <c r="N69" s="77">
        <f t="shared" si="132"/>
        <v>0</v>
      </c>
      <c r="O69" s="75">
        <f t="shared" si="132"/>
        <v>2505</v>
      </c>
      <c r="P69" s="76">
        <f t="shared" si="132"/>
        <v>0</v>
      </c>
      <c r="Q69" s="77">
        <f t="shared" si="132"/>
        <v>96</v>
      </c>
      <c r="R69" s="75">
        <f t="shared" si="132"/>
        <v>0</v>
      </c>
      <c r="S69" s="76">
        <f t="shared" si="132"/>
        <v>0</v>
      </c>
      <c r="T69" s="77">
        <f t="shared" si="132"/>
        <v>0</v>
      </c>
      <c r="U69" s="76">
        <f t="shared" si="42"/>
        <v>33443.56</v>
      </c>
      <c r="V69" s="76">
        <f>M69+P69+S69</f>
        <v>0</v>
      </c>
      <c r="W69" s="77">
        <f t="shared" si="128"/>
        <v>503</v>
      </c>
      <c r="X69" s="75">
        <f>X70+X71</f>
        <v>26858.559999999998</v>
      </c>
      <c r="Y69" s="76">
        <f t="shared" ref="Y69:AF69" si="133">Y70+Y71</f>
        <v>0</v>
      </c>
      <c r="Z69" s="77">
        <f t="shared" si="133"/>
        <v>276</v>
      </c>
      <c r="AA69" s="75">
        <f t="shared" si="133"/>
        <v>3090</v>
      </c>
      <c r="AB69" s="76">
        <f t="shared" si="133"/>
        <v>0</v>
      </c>
      <c r="AC69" s="77">
        <f t="shared" si="133"/>
        <v>101</v>
      </c>
      <c r="AD69" s="75">
        <f t="shared" si="133"/>
        <v>3495</v>
      </c>
      <c r="AE69" s="76">
        <f t="shared" si="133"/>
        <v>0</v>
      </c>
      <c r="AF69" s="77">
        <f t="shared" si="133"/>
        <v>126</v>
      </c>
      <c r="AG69" s="76">
        <f t="shared" si="12"/>
        <v>81333.64</v>
      </c>
      <c r="AH69" s="76">
        <f t="shared" ref="AH69" si="134">AH70+AH71</f>
        <v>0</v>
      </c>
      <c r="AI69" s="77">
        <f t="shared" si="13"/>
        <v>305</v>
      </c>
      <c r="AJ69" s="75">
        <f>SUM(AJ70:AJ71)</f>
        <v>3495</v>
      </c>
      <c r="AK69" s="76">
        <f t="shared" ref="AK69:AR69" si="135">SUM(AK70:AK71)</f>
        <v>0</v>
      </c>
      <c r="AL69" s="77">
        <f t="shared" si="135"/>
        <v>0</v>
      </c>
      <c r="AM69" s="75">
        <f t="shared" si="135"/>
        <v>22302</v>
      </c>
      <c r="AN69" s="76">
        <f t="shared" si="135"/>
        <v>0</v>
      </c>
      <c r="AO69" s="77">
        <f t="shared" si="135"/>
        <v>0</v>
      </c>
      <c r="AP69" s="75">
        <f t="shared" si="135"/>
        <v>55536.639999999999</v>
      </c>
      <c r="AQ69" s="76">
        <f t="shared" si="135"/>
        <v>0</v>
      </c>
      <c r="AR69" s="77">
        <f t="shared" si="135"/>
        <v>305</v>
      </c>
      <c r="AS69" s="76">
        <f t="shared" si="33"/>
        <v>76738</v>
      </c>
      <c r="AT69" s="76">
        <f>AK69+AN69+AQ69</f>
        <v>0</v>
      </c>
      <c r="AU69" s="77">
        <f t="shared" si="15"/>
        <v>0</v>
      </c>
      <c r="AV69" s="75">
        <f>SUM(AV70:AV71)</f>
        <v>0</v>
      </c>
      <c r="AW69" s="76">
        <f t="shared" ref="AW69:BD69" si="136">SUM(AW70:AW71)</f>
        <v>0</v>
      </c>
      <c r="AX69" s="77">
        <f t="shared" si="136"/>
        <v>0</v>
      </c>
      <c r="AY69" s="75">
        <f t="shared" si="136"/>
        <v>14090</v>
      </c>
      <c r="AZ69" s="76">
        <f t="shared" si="136"/>
        <v>0</v>
      </c>
      <c r="BA69" s="77">
        <f t="shared" si="136"/>
        <v>0</v>
      </c>
      <c r="BB69" s="75">
        <f t="shared" si="136"/>
        <v>62648</v>
      </c>
      <c r="BC69" s="76">
        <f t="shared" si="136"/>
        <v>0</v>
      </c>
      <c r="BD69" s="77">
        <f t="shared" si="136"/>
        <v>0</v>
      </c>
      <c r="BE69" s="8"/>
      <c r="BF69" s="102">
        <v>117282.2</v>
      </c>
      <c r="BG69" s="103">
        <f>I69+U69</f>
        <v>35948.559999999998</v>
      </c>
      <c r="BH69" s="108">
        <f>(BG69+AG69)-BF69</f>
        <v>0</v>
      </c>
      <c r="BI69" s="108">
        <v>3495</v>
      </c>
      <c r="BJ69" s="108"/>
    </row>
    <row r="70" spans="2:62" s="1" customFormat="1" ht="45" x14ac:dyDescent="0.25">
      <c r="B70" s="34"/>
      <c r="C70" s="14" t="s">
        <v>78</v>
      </c>
      <c r="D70" s="11">
        <v>379000</v>
      </c>
      <c r="E70" s="24">
        <v>150220</v>
      </c>
      <c r="F70" s="24">
        <f t="shared" si="124"/>
        <v>146720.20000000001</v>
      </c>
      <c r="G70" s="11">
        <f t="shared" si="125"/>
        <v>0</v>
      </c>
      <c r="H70" s="11">
        <f t="shared" si="126"/>
        <v>0</v>
      </c>
      <c r="I70" s="82">
        <f>L70+O70+R70</f>
        <v>0</v>
      </c>
      <c r="J70" s="82">
        <f t="shared" ref="J70:K82" si="137">M70+P70+S70</f>
        <v>0</v>
      </c>
      <c r="K70" s="83">
        <f t="shared" si="137"/>
        <v>0</v>
      </c>
      <c r="L70" s="63">
        <v>0</v>
      </c>
      <c r="M70" s="82"/>
      <c r="N70" s="83"/>
      <c r="O70" s="63"/>
      <c r="P70" s="82"/>
      <c r="Q70" s="83"/>
      <c r="R70" s="63"/>
      <c r="S70" s="82"/>
      <c r="T70" s="83"/>
      <c r="U70" s="82">
        <f t="shared" si="42"/>
        <v>19948.559999999998</v>
      </c>
      <c r="V70" s="82"/>
      <c r="W70" s="83">
        <f t="shared" si="128"/>
        <v>0</v>
      </c>
      <c r="X70" s="63">
        <v>19948.559999999998</v>
      </c>
      <c r="Y70" s="82"/>
      <c r="Z70" s="83">
        <v>0</v>
      </c>
      <c r="AA70" s="63"/>
      <c r="AB70" s="82"/>
      <c r="AC70" s="83"/>
      <c r="AD70" s="63"/>
      <c r="AE70" s="82"/>
      <c r="AF70" s="83"/>
      <c r="AG70" s="82">
        <f t="shared" si="12"/>
        <v>65353.64</v>
      </c>
      <c r="AH70" s="82"/>
      <c r="AI70" s="83">
        <f t="shared" si="13"/>
        <v>0</v>
      </c>
      <c r="AJ70" s="63">
        <v>0</v>
      </c>
      <c r="AK70" s="82"/>
      <c r="AL70" s="83"/>
      <c r="AM70" s="63">
        <v>22302</v>
      </c>
      <c r="AN70" s="82"/>
      <c r="AO70" s="83"/>
      <c r="AP70" s="63">
        <f>46546.64-3495</f>
        <v>43051.64</v>
      </c>
      <c r="AQ70" s="82"/>
      <c r="AR70" s="83"/>
      <c r="AS70" s="82">
        <f t="shared" si="33"/>
        <v>61418</v>
      </c>
      <c r="AT70" s="82"/>
      <c r="AU70" s="83">
        <f t="shared" si="15"/>
        <v>0</v>
      </c>
      <c r="AV70" s="63"/>
      <c r="AW70" s="82"/>
      <c r="AX70" s="83"/>
      <c r="AY70" s="63">
        <v>4060</v>
      </c>
      <c r="AZ70" s="82"/>
      <c r="BA70" s="83"/>
      <c r="BB70" s="63">
        <v>57358</v>
      </c>
      <c r="BC70" s="82"/>
      <c r="BD70" s="83"/>
      <c r="BE70" s="13"/>
      <c r="BF70" s="102"/>
      <c r="BG70" s="103"/>
      <c r="BH70" s="108"/>
      <c r="BI70" s="108"/>
      <c r="BJ70" s="108"/>
    </row>
    <row r="71" spans="2:62" ht="44.25" customHeight="1" thickBot="1" x14ac:dyDescent="0.3">
      <c r="B71" s="34"/>
      <c r="C71" s="14" t="s">
        <v>42</v>
      </c>
      <c r="D71" s="11">
        <v>95000</v>
      </c>
      <c r="E71" s="24">
        <v>47280</v>
      </c>
      <c r="F71" s="24">
        <f t="shared" si="124"/>
        <v>47300</v>
      </c>
      <c r="G71" s="11">
        <f t="shared" si="125"/>
        <v>0</v>
      </c>
      <c r="H71" s="11">
        <f t="shared" si="126"/>
        <v>904</v>
      </c>
      <c r="I71" s="82">
        <f>L71+O71+R71</f>
        <v>2505</v>
      </c>
      <c r="J71" s="82">
        <f t="shared" si="137"/>
        <v>0</v>
      </c>
      <c r="K71" s="83">
        <f t="shared" si="137"/>
        <v>96</v>
      </c>
      <c r="L71" s="63">
        <v>0</v>
      </c>
      <c r="M71" s="82"/>
      <c r="N71" s="83"/>
      <c r="O71" s="63">
        <v>2505</v>
      </c>
      <c r="P71" s="82"/>
      <c r="Q71" s="83">
        <v>96</v>
      </c>
      <c r="R71" s="63"/>
      <c r="S71" s="82"/>
      <c r="T71" s="83"/>
      <c r="U71" s="82">
        <f t="shared" si="42"/>
        <v>13495</v>
      </c>
      <c r="V71" s="82"/>
      <c r="W71" s="83">
        <f t="shared" si="128"/>
        <v>503</v>
      </c>
      <c r="X71" s="63">
        <v>6910</v>
      </c>
      <c r="Y71" s="82"/>
      <c r="Z71" s="83">
        <v>276</v>
      </c>
      <c r="AA71" s="63">
        <v>3090</v>
      </c>
      <c r="AB71" s="82"/>
      <c r="AC71" s="83">
        <v>101</v>
      </c>
      <c r="AD71" s="63">
        <v>3495</v>
      </c>
      <c r="AE71" s="82"/>
      <c r="AF71" s="83">
        <v>126</v>
      </c>
      <c r="AG71" s="82">
        <f t="shared" si="12"/>
        <v>15980</v>
      </c>
      <c r="AH71" s="82"/>
      <c r="AI71" s="83">
        <f t="shared" si="13"/>
        <v>305</v>
      </c>
      <c r="AJ71" s="63">
        <v>3495</v>
      </c>
      <c r="AK71" s="82"/>
      <c r="AL71" s="83"/>
      <c r="AM71" s="63"/>
      <c r="AN71" s="82"/>
      <c r="AO71" s="83"/>
      <c r="AP71" s="63">
        <v>12485</v>
      </c>
      <c r="AQ71" s="82"/>
      <c r="AR71" s="83">
        <v>305</v>
      </c>
      <c r="AS71" s="82">
        <f t="shared" si="33"/>
        <v>15320</v>
      </c>
      <c r="AT71" s="82"/>
      <c r="AU71" s="83">
        <f t="shared" si="15"/>
        <v>0</v>
      </c>
      <c r="AV71" s="63"/>
      <c r="AW71" s="82"/>
      <c r="AX71" s="83"/>
      <c r="AY71" s="63">
        <v>10030</v>
      </c>
      <c r="AZ71" s="82"/>
      <c r="BA71" s="83"/>
      <c r="BB71" s="63">
        <v>5290</v>
      </c>
      <c r="BC71" s="82"/>
      <c r="BD71" s="83"/>
      <c r="BE71" s="16"/>
      <c r="BF71" s="102"/>
      <c r="BG71" s="103"/>
      <c r="BH71" s="108"/>
      <c r="BI71" s="108"/>
      <c r="BJ71" s="108"/>
    </row>
    <row r="72" spans="2:62" ht="37.5" customHeight="1" thickBot="1" x14ac:dyDescent="0.3">
      <c r="B72" s="6" t="s">
        <v>70</v>
      </c>
      <c r="C72" s="6" t="s">
        <v>117</v>
      </c>
      <c r="D72" s="7">
        <f>SUM(D73:D81)</f>
        <v>2100000</v>
      </c>
      <c r="E72" s="7">
        <f>SUM(E73:E81)</f>
        <v>2008500</v>
      </c>
      <c r="F72" s="60">
        <f t="shared" si="124"/>
        <v>1995530.8800000001</v>
      </c>
      <c r="G72" s="48">
        <f t="shared" si="125"/>
        <v>0</v>
      </c>
      <c r="H72" s="48">
        <f t="shared" si="126"/>
        <v>0</v>
      </c>
      <c r="I72" s="76">
        <f>L72+O72+R72</f>
        <v>22317.34</v>
      </c>
      <c r="J72" s="76">
        <f>M72+P72+S72</f>
        <v>0</v>
      </c>
      <c r="K72" s="77">
        <f t="shared" si="137"/>
        <v>0</v>
      </c>
      <c r="L72" s="75">
        <f>SUM(L73:L81)</f>
        <v>0</v>
      </c>
      <c r="M72" s="76">
        <f t="shared" ref="M72:T72" si="138">SUM(M73:M81)</f>
        <v>0</v>
      </c>
      <c r="N72" s="77">
        <f t="shared" si="138"/>
        <v>0</v>
      </c>
      <c r="O72" s="88">
        <f t="shared" si="138"/>
        <v>11158.67</v>
      </c>
      <c r="P72" s="76">
        <f t="shared" si="138"/>
        <v>0</v>
      </c>
      <c r="Q72" s="77">
        <f t="shared" si="138"/>
        <v>0</v>
      </c>
      <c r="R72" s="88">
        <f t="shared" si="138"/>
        <v>11158.67</v>
      </c>
      <c r="S72" s="76">
        <f t="shared" si="138"/>
        <v>0</v>
      </c>
      <c r="T72" s="77">
        <f t="shared" si="138"/>
        <v>0</v>
      </c>
      <c r="U72" s="89">
        <f t="shared" si="42"/>
        <v>77902.009999999995</v>
      </c>
      <c r="V72" s="76"/>
      <c r="W72" s="77">
        <f t="shared" si="128"/>
        <v>0</v>
      </c>
      <c r="X72" s="88">
        <f>SUM(X73:X81)</f>
        <v>11158.67</v>
      </c>
      <c r="Y72" s="76"/>
      <c r="Z72" s="77"/>
      <c r="AA72" s="88">
        <f>SUM(AA73:AA81)</f>
        <v>12521.67</v>
      </c>
      <c r="AB72" s="76"/>
      <c r="AC72" s="77"/>
      <c r="AD72" s="88">
        <f>SUM(AD73:AD81)</f>
        <v>54221.67</v>
      </c>
      <c r="AE72" s="76"/>
      <c r="AF72" s="77"/>
      <c r="AG72" s="89">
        <f t="shared" si="12"/>
        <v>293765.01</v>
      </c>
      <c r="AH72" s="76"/>
      <c r="AI72" s="77">
        <f t="shared" si="13"/>
        <v>0</v>
      </c>
      <c r="AJ72" s="88">
        <f t="shared" ref="AJ72:AL72" si="139">SUM(AJ73:AJ81)</f>
        <v>17566.669999999998</v>
      </c>
      <c r="AK72" s="76">
        <f t="shared" si="139"/>
        <v>0</v>
      </c>
      <c r="AL72" s="77">
        <f t="shared" si="139"/>
        <v>0</v>
      </c>
      <c r="AM72" s="88">
        <f>SUM(AM73:AM81)</f>
        <v>78221.67</v>
      </c>
      <c r="AN72" s="76">
        <f t="shared" ref="AN72:AR72" si="140">SUM(AN73:AN81)</f>
        <v>0</v>
      </c>
      <c r="AO72" s="77">
        <f t="shared" si="140"/>
        <v>0</v>
      </c>
      <c r="AP72" s="88">
        <f t="shared" si="140"/>
        <v>197976.67</v>
      </c>
      <c r="AQ72" s="76">
        <f t="shared" si="140"/>
        <v>0</v>
      </c>
      <c r="AR72" s="77">
        <f t="shared" si="140"/>
        <v>0</v>
      </c>
      <c r="AS72" s="76">
        <f t="shared" si="33"/>
        <v>1601546.52</v>
      </c>
      <c r="AT72" s="76"/>
      <c r="AU72" s="77">
        <f t="shared" si="15"/>
        <v>0</v>
      </c>
      <c r="AV72" s="88">
        <f>SUM(AV73:AV81)</f>
        <v>164216.67000000001</v>
      </c>
      <c r="AW72" s="76">
        <f t="shared" ref="AW72:BD72" si="141">SUM(AW73:AW81)</f>
        <v>0</v>
      </c>
      <c r="AX72" s="77">
        <f t="shared" si="141"/>
        <v>0</v>
      </c>
      <c r="AY72" s="88">
        <f t="shared" si="141"/>
        <v>308960.67</v>
      </c>
      <c r="AZ72" s="76">
        <f t="shared" si="141"/>
        <v>0</v>
      </c>
      <c r="BA72" s="77">
        <f t="shared" si="141"/>
        <v>0</v>
      </c>
      <c r="BB72" s="88">
        <f t="shared" si="141"/>
        <v>1128369.1800000002</v>
      </c>
      <c r="BC72" s="76">
        <f t="shared" si="141"/>
        <v>0</v>
      </c>
      <c r="BD72" s="77">
        <f t="shared" si="141"/>
        <v>0</v>
      </c>
      <c r="BE72" s="8"/>
      <c r="BF72" s="102">
        <v>393984.36</v>
      </c>
      <c r="BG72" s="103">
        <f>I72+U72</f>
        <v>100219.34999999999</v>
      </c>
      <c r="BH72" s="108">
        <f>(BG72+AG72)-BF72</f>
        <v>0</v>
      </c>
      <c r="BI72" s="108">
        <v>0</v>
      </c>
      <c r="BJ72" s="108"/>
    </row>
    <row r="73" spans="2:62" x14ac:dyDescent="0.25">
      <c r="B73" s="34"/>
      <c r="C73" s="36" t="s">
        <v>54</v>
      </c>
      <c r="D73" s="11">
        <v>900000</v>
      </c>
      <c r="E73" s="24">
        <v>863120</v>
      </c>
      <c r="F73" s="24">
        <f t="shared" si="124"/>
        <v>871311.59000000008</v>
      </c>
      <c r="G73" s="47">
        <f t="shared" si="125"/>
        <v>0</v>
      </c>
      <c r="H73" s="47">
        <f t="shared" si="126"/>
        <v>0</v>
      </c>
      <c r="I73" s="82">
        <f>L73+O73+R73</f>
        <v>3984</v>
      </c>
      <c r="J73" s="82">
        <f t="shared" ref="J73:K83" si="142">M73+P73+S73</f>
        <v>0</v>
      </c>
      <c r="K73" s="83">
        <f t="shared" si="137"/>
        <v>0</v>
      </c>
      <c r="L73" s="63">
        <v>0</v>
      </c>
      <c r="M73" s="82"/>
      <c r="N73" s="83"/>
      <c r="O73" s="63">
        <v>1992</v>
      </c>
      <c r="P73" s="82"/>
      <c r="Q73" s="83"/>
      <c r="R73" s="63">
        <v>1992</v>
      </c>
      <c r="S73" s="82"/>
      <c r="T73" s="83"/>
      <c r="U73" s="82">
        <f t="shared" si="42"/>
        <v>38810</v>
      </c>
      <c r="V73" s="82"/>
      <c r="W73" s="83">
        <f t="shared" si="128"/>
        <v>0</v>
      </c>
      <c r="X73" s="63"/>
      <c r="Y73" s="82"/>
      <c r="Z73" s="83"/>
      <c r="AA73" s="63">
        <v>3355</v>
      </c>
      <c r="AB73" s="82"/>
      <c r="AC73" s="83"/>
      <c r="AD73" s="63">
        <v>35455</v>
      </c>
      <c r="AE73" s="82"/>
      <c r="AF73" s="83"/>
      <c r="AG73" s="82">
        <f t="shared" si="12"/>
        <v>151865</v>
      </c>
      <c r="AH73" s="82"/>
      <c r="AI73" s="83">
        <f t="shared" si="13"/>
        <v>0</v>
      </c>
      <c r="AJ73" s="63">
        <v>5350</v>
      </c>
      <c r="AK73" s="82"/>
      <c r="AL73" s="83"/>
      <c r="AM73" s="63">
        <v>28355</v>
      </c>
      <c r="AN73" s="82"/>
      <c r="AO73" s="83"/>
      <c r="AP73" s="63">
        <v>118160</v>
      </c>
      <c r="AQ73" s="82"/>
      <c r="AR73" s="83"/>
      <c r="AS73" s="82">
        <f t="shared" si="33"/>
        <v>676652.59000000008</v>
      </c>
      <c r="AT73" s="82"/>
      <c r="AU73" s="83">
        <f t="shared" si="15"/>
        <v>0</v>
      </c>
      <c r="AV73" s="63">
        <v>55600</v>
      </c>
      <c r="AW73" s="82"/>
      <c r="AX73" s="83"/>
      <c r="AY73" s="63">
        <v>97555</v>
      </c>
      <c r="AZ73" s="82"/>
      <c r="BA73" s="83"/>
      <c r="BB73" s="63">
        <v>523497.59</v>
      </c>
      <c r="BC73" s="82"/>
      <c r="BD73" s="83"/>
      <c r="BE73" s="16"/>
      <c r="BF73" s="102"/>
      <c r="BG73" s="103"/>
      <c r="BH73" s="108"/>
      <c r="BI73" s="108"/>
      <c r="BJ73" s="108"/>
    </row>
    <row r="74" spans="2:62" x14ac:dyDescent="0.25">
      <c r="B74" s="34"/>
      <c r="C74" s="36" t="s">
        <v>55</v>
      </c>
      <c r="D74" s="11">
        <v>90000</v>
      </c>
      <c r="E74" s="24">
        <v>90000</v>
      </c>
      <c r="F74" s="24">
        <f t="shared" si="124"/>
        <v>81592</v>
      </c>
      <c r="G74" s="47">
        <f t="shared" si="125"/>
        <v>0</v>
      </c>
      <c r="H74" s="47">
        <f t="shared" si="126"/>
        <v>0</v>
      </c>
      <c r="I74" s="82">
        <f t="shared" ref="I74:I81" si="143">L74+O74+R74</f>
        <v>0</v>
      </c>
      <c r="J74" s="82">
        <f t="shared" si="142"/>
        <v>0</v>
      </c>
      <c r="K74" s="83">
        <f t="shared" si="137"/>
        <v>0</v>
      </c>
      <c r="L74" s="63">
        <v>0</v>
      </c>
      <c r="M74" s="82"/>
      <c r="N74" s="83"/>
      <c r="O74" s="63">
        <v>0</v>
      </c>
      <c r="P74" s="82"/>
      <c r="Q74" s="83"/>
      <c r="R74" s="63">
        <v>0</v>
      </c>
      <c r="S74" s="82"/>
      <c r="T74" s="83"/>
      <c r="U74" s="82">
        <f t="shared" si="42"/>
        <v>1992</v>
      </c>
      <c r="V74" s="82"/>
      <c r="W74" s="83">
        <f t="shared" si="128"/>
        <v>0</v>
      </c>
      <c r="X74" s="63">
        <v>1992</v>
      </c>
      <c r="Y74" s="82"/>
      <c r="Z74" s="83"/>
      <c r="AA74" s="63"/>
      <c r="AB74" s="82"/>
      <c r="AC74" s="83"/>
      <c r="AD74" s="63"/>
      <c r="AE74" s="82"/>
      <c r="AF74" s="83"/>
      <c r="AG74" s="82">
        <f t="shared" si="12"/>
        <v>5050</v>
      </c>
      <c r="AH74" s="82"/>
      <c r="AI74" s="83">
        <f t="shared" si="13"/>
        <v>0</v>
      </c>
      <c r="AJ74" s="63"/>
      <c r="AK74" s="82"/>
      <c r="AL74" s="83"/>
      <c r="AM74" s="63">
        <v>5050</v>
      </c>
      <c r="AN74" s="82"/>
      <c r="AO74" s="83"/>
      <c r="AP74" s="63"/>
      <c r="AQ74" s="82"/>
      <c r="AR74" s="83"/>
      <c r="AS74" s="82">
        <f t="shared" si="33"/>
        <v>74550</v>
      </c>
      <c r="AT74" s="82"/>
      <c r="AU74" s="83">
        <f t="shared" si="15"/>
        <v>0</v>
      </c>
      <c r="AV74" s="63">
        <v>9050</v>
      </c>
      <c r="AW74" s="82"/>
      <c r="AX74" s="83"/>
      <c r="AY74" s="63">
        <v>26050</v>
      </c>
      <c r="AZ74" s="82"/>
      <c r="BA74" s="83"/>
      <c r="BB74" s="63">
        <v>39450</v>
      </c>
      <c r="BC74" s="82"/>
      <c r="BD74" s="83"/>
      <c r="BE74" s="16"/>
      <c r="BF74" s="102"/>
      <c r="BG74" s="103"/>
      <c r="BH74" s="108"/>
      <c r="BI74" s="108"/>
      <c r="BJ74" s="108"/>
    </row>
    <row r="75" spans="2:62" x14ac:dyDescent="0.25">
      <c r="B75" s="34"/>
      <c r="C75" s="36" t="s">
        <v>43</v>
      </c>
      <c r="D75" s="11">
        <v>90000</v>
      </c>
      <c r="E75" s="24">
        <v>90000</v>
      </c>
      <c r="F75" s="24"/>
      <c r="G75" s="47"/>
      <c r="H75" s="47"/>
      <c r="I75" s="82"/>
      <c r="J75" s="82"/>
      <c r="K75" s="83"/>
      <c r="L75" s="63">
        <v>0</v>
      </c>
      <c r="M75" s="82"/>
      <c r="N75" s="83"/>
      <c r="O75" s="63">
        <v>0</v>
      </c>
      <c r="P75" s="82"/>
      <c r="Q75" s="83"/>
      <c r="R75" s="63">
        <v>0</v>
      </c>
      <c r="S75" s="82"/>
      <c r="T75" s="83"/>
      <c r="U75" s="82"/>
      <c r="V75" s="82"/>
      <c r="W75" s="83"/>
      <c r="X75" s="63"/>
      <c r="Y75" s="82"/>
      <c r="Z75" s="83"/>
      <c r="AA75" s="63"/>
      <c r="AB75" s="82"/>
      <c r="AC75" s="83"/>
      <c r="AD75" s="63"/>
      <c r="AE75" s="82"/>
      <c r="AF75" s="83"/>
      <c r="AG75" s="82"/>
      <c r="AH75" s="82"/>
      <c r="AI75" s="83"/>
      <c r="AJ75" s="63">
        <v>3050</v>
      </c>
      <c r="AK75" s="82"/>
      <c r="AL75" s="83"/>
      <c r="AM75" s="63">
        <v>12600</v>
      </c>
      <c r="AN75" s="82"/>
      <c r="AO75" s="83"/>
      <c r="AP75" s="63">
        <v>8050</v>
      </c>
      <c r="AQ75" s="82"/>
      <c r="AR75" s="83"/>
      <c r="AS75" s="82"/>
      <c r="AT75" s="82"/>
      <c r="AU75" s="83"/>
      <c r="AV75" s="63">
        <v>7550</v>
      </c>
      <c r="AW75" s="82"/>
      <c r="AX75" s="83"/>
      <c r="AY75" s="63">
        <v>26350</v>
      </c>
      <c r="AZ75" s="82"/>
      <c r="BA75" s="83"/>
      <c r="BB75" s="63">
        <v>32400</v>
      </c>
      <c r="BC75" s="82"/>
      <c r="BD75" s="83"/>
      <c r="BE75" s="16"/>
      <c r="BF75" s="102"/>
      <c r="BG75" s="103"/>
      <c r="BH75" s="108"/>
      <c r="BI75" s="108"/>
      <c r="BJ75" s="108"/>
    </row>
    <row r="76" spans="2:62" x14ac:dyDescent="0.25">
      <c r="B76" s="34"/>
      <c r="C76" s="36" t="s">
        <v>56</v>
      </c>
      <c r="D76" s="11">
        <v>100000</v>
      </c>
      <c r="E76" s="24">
        <v>100000</v>
      </c>
      <c r="F76" s="24"/>
      <c r="G76" s="47"/>
      <c r="H76" s="47"/>
      <c r="I76" s="82"/>
      <c r="J76" s="82"/>
      <c r="K76" s="83"/>
      <c r="L76" s="63">
        <v>0</v>
      </c>
      <c r="M76" s="82"/>
      <c r="N76" s="83"/>
      <c r="O76" s="63">
        <v>0</v>
      </c>
      <c r="P76" s="82"/>
      <c r="Q76" s="83"/>
      <c r="R76" s="63">
        <v>0</v>
      </c>
      <c r="S76" s="82"/>
      <c r="T76" s="83"/>
      <c r="U76" s="82"/>
      <c r="V76" s="82"/>
      <c r="W76" s="83"/>
      <c r="X76" s="63"/>
      <c r="Y76" s="82"/>
      <c r="Z76" s="83"/>
      <c r="AA76" s="63"/>
      <c r="AB76" s="82"/>
      <c r="AC76" s="83"/>
      <c r="AD76" s="63">
        <v>9600</v>
      </c>
      <c r="AE76" s="82"/>
      <c r="AF76" s="83"/>
      <c r="AG76" s="82"/>
      <c r="AH76" s="82"/>
      <c r="AI76" s="83"/>
      <c r="AJ76" s="63"/>
      <c r="AK76" s="82"/>
      <c r="AL76" s="83"/>
      <c r="AM76" s="63">
        <v>12100</v>
      </c>
      <c r="AN76" s="82"/>
      <c r="AO76" s="83"/>
      <c r="AP76" s="63">
        <v>13100</v>
      </c>
      <c r="AQ76" s="82"/>
      <c r="AR76" s="83"/>
      <c r="AS76" s="82"/>
      <c r="AT76" s="82"/>
      <c r="AU76" s="83"/>
      <c r="AV76" s="63">
        <v>21600</v>
      </c>
      <c r="AW76" s="82"/>
      <c r="AX76" s="83"/>
      <c r="AY76" s="63">
        <v>13600</v>
      </c>
      <c r="AZ76" s="82"/>
      <c r="BA76" s="83"/>
      <c r="BB76" s="63">
        <v>30000</v>
      </c>
      <c r="BC76" s="82"/>
      <c r="BD76" s="83"/>
      <c r="BE76" s="16"/>
      <c r="BF76" s="102"/>
      <c r="BG76" s="103"/>
      <c r="BH76" s="108"/>
      <c r="BI76" s="108"/>
      <c r="BJ76" s="108"/>
    </row>
    <row r="77" spans="2:62" x14ac:dyDescent="0.25">
      <c r="B77" s="34"/>
      <c r="C77" s="57" t="s">
        <v>57</v>
      </c>
      <c r="D77" s="11">
        <v>250000</v>
      </c>
      <c r="E77" s="24">
        <v>244100</v>
      </c>
      <c r="F77" s="24">
        <f t="shared" ref="F77:H82" si="144">L77+O77+R77+X77+AA77+AD77+AJ77+AM77+AP77+AV77+AY77+BB77</f>
        <v>239298.81</v>
      </c>
      <c r="G77" s="47">
        <f t="shared" si="144"/>
        <v>0</v>
      </c>
      <c r="H77" s="47">
        <f t="shared" si="144"/>
        <v>0</v>
      </c>
      <c r="I77" s="82">
        <f t="shared" si="143"/>
        <v>0</v>
      </c>
      <c r="J77" s="82">
        <f t="shared" si="142"/>
        <v>0</v>
      </c>
      <c r="K77" s="83">
        <f t="shared" si="137"/>
        <v>0</v>
      </c>
      <c r="L77" s="63">
        <v>0</v>
      </c>
      <c r="M77" s="82"/>
      <c r="N77" s="83"/>
      <c r="O77" s="63">
        <v>0</v>
      </c>
      <c r="P77" s="82"/>
      <c r="Q77" s="83"/>
      <c r="R77" s="63">
        <v>0</v>
      </c>
      <c r="S77" s="82"/>
      <c r="T77" s="83"/>
      <c r="U77" s="82">
        <f t="shared" si="42"/>
        <v>0</v>
      </c>
      <c r="V77" s="82"/>
      <c r="W77" s="83">
        <f t="shared" si="128"/>
        <v>0</v>
      </c>
      <c r="X77" s="63"/>
      <c r="Y77" s="82"/>
      <c r="Z77" s="83"/>
      <c r="AA77" s="63"/>
      <c r="AB77" s="82"/>
      <c r="AC77" s="83"/>
      <c r="AD77" s="63"/>
      <c r="AE77" s="82"/>
      <c r="AF77" s="83"/>
      <c r="AG77" s="82">
        <f t="shared" si="12"/>
        <v>53950</v>
      </c>
      <c r="AH77" s="82"/>
      <c r="AI77" s="83">
        <f t="shared" si="13"/>
        <v>0</v>
      </c>
      <c r="AJ77" s="63"/>
      <c r="AK77" s="82"/>
      <c r="AL77" s="83"/>
      <c r="AM77" s="63">
        <v>10950</v>
      </c>
      <c r="AN77" s="82"/>
      <c r="AO77" s="83"/>
      <c r="AP77" s="63">
        <v>43000</v>
      </c>
      <c r="AQ77" s="82"/>
      <c r="AR77" s="83"/>
      <c r="AS77" s="82">
        <f t="shared" si="33"/>
        <v>185348.81</v>
      </c>
      <c r="AT77" s="82"/>
      <c r="AU77" s="83">
        <f t="shared" si="15"/>
        <v>0</v>
      </c>
      <c r="AV77" s="63">
        <v>31950</v>
      </c>
      <c r="AW77" s="82"/>
      <c r="AX77" s="83"/>
      <c r="AY77" s="63">
        <v>73950</v>
      </c>
      <c r="AZ77" s="82"/>
      <c r="BA77" s="83"/>
      <c r="BB77" s="63">
        <v>79448.81</v>
      </c>
      <c r="BC77" s="82"/>
      <c r="BD77" s="83"/>
      <c r="BE77" s="16"/>
      <c r="BF77" s="102"/>
      <c r="BG77" s="103"/>
      <c r="BH77" s="108"/>
      <c r="BI77" s="108"/>
      <c r="BJ77" s="108"/>
    </row>
    <row r="78" spans="2:62" x14ac:dyDescent="0.25">
      <c r="B78" s="34"/>
      <c r="C78" s="36" t="s">
        <v>58</v>
      </c>
      <c r="D78" s="11">
        <v>140000</v>
      </c>
      <c r="E78" s="24">
        <v>118710</v>
      </c>
      <c r="F78" s="24">
        <f t="shared" si="144"/>
        <v>118708</v>
      </c>
      <c r="G78" s="47">
        <f t="shared" si="144"/>
        <v>0</v>
      </c>
      <c r="H78" s="47">
        <f t="shared" si="144"/>
        <v>0</v>
      </c>
      <c r="I78" s="82">
        <f t="shared" si="143"/>
        <v>0</v>
      </c>
      <c r="J78" s="82">
        <f t="shared" si="142"/>
        <v>0</v>
      </c>
      <c r="K78" s="83">
        <f t="shared" si="137"/>
        <v>0</v>
      </c>
      <c r="L78" s="63">
        <v>0</v>
      </c>
      <c r="M78" s="82"/>
      <c r="N78" s="83"/>
      <c r="O78" s="63">
        <v>0</v>
      </c>
      <c r="P78" s="82"/>
      <c r="Q78" s="83"/>
      <c r="R78" s="63">
        <v>0</v>
      </c>
      <c r="S78" s="82"/>
      <c r="T78" s="83"/>
      <c r="U78" s="82">
        <f t="shared" si="42"/>
        <v>0</v>
      </c>
      <c r="V78" s="82"/>
      <c r="W78" s="83">
        <f t="shared" si="128"/>
        <v>0</v>
      </c>
      <c r="X78" s="63"/>
      <c r="Y78" s="82"/>
      <c r="Z78" s="83"/>
      <c r="AA78" s="63"/>
      <c r="AB78" s="82"/>
      <c r="AC78" s="83"/>
      <c r="AD78" s="63"/>
      <c r="AE78" s="82"/>
      <c r="AF78" s="83"/>
      <c r="AG78" s="82">
        <f t="shared" si="12"/>
        <v>0</v>
      </c>
      <c r="AH78" s="82"/>
      <c r="AI78" s="83">
        <f t="shared" si="13"/>
        <v>0</v>
      </c>
      <c r="AJ78" s="63"/>
      <c r="AK78" s="82"/>
      <c r="AL78" s="83"/>
      <c r="AM78" s="63"/>
      <c r="AN78" s="82"/>
      <c r="AO78" s="83"/>
      <c r="AP78" s="63"/>
      <c r="AQ78" s="82"/>
      <c r="AR78" s="83"/>
      <c r="AS78" s="82">
        <f t="shared" si="33"/>
        <v>118708</v>
      </c>
      <c r="AT78" s="82"/>
      <c r="AU78" s="83">
        <f t="shared" si="15"/>
        <v>0</v>
      </c>
      <c r="AV78" s="63"/>
      <c r="AW78" s="82"/>
      <c r="AX78" s="83"/>
      <c r="AY78" s="63">
        <v>27099</v>
      </c>
      <c r="AZ78" s="82"/>
      <c r="BA78" s="83"/>
      <c r="BB78" s="63">
        <v>91609</v>
      </c>
      <c r="BC78" s="82"/>
      <c r="BD78" s="83"/>
      <c r="BE78" s="16"/>
      <c r="BF78" s="102"/>
      <c r="BG78" s="103"/>
      <c r="BH78" s="108"/>
      <c r="BI78" s="108"/>
      <c r="BJ78" s="108"/>
    </row>
    <row r="79" spans="2:62" ht="30" x14ac:dyDescent="0.25">
      <c r="B79" s="34"/>
      <c r="C79" s="36" t="s">
        <v>59</v>
      </c>
      <c r="D79" s="11">
        <v>180000</v>
      </c>
      <c r="E79" s="24">
        <v>163240</v>
      </c>
      <c r="F79" s="24">
        <f t="shared" si="144"/>
        <v>163234</v>
      </c>
      <c r="G79" s="47">
        <f t="shared" si="144"/>
        <v>0</v>
      </c>
      <c r="H79" s="47">
        <f t="shared" si="144"/>
        <v>0</v>
      </c>
      <c r="I79" s="82">
        <f t="shared" si="143"/>
        <v>0</v>
      </c>
      <c r="J79" s="82">
        <f t="shared" si="142"/>
        <v>0</v>
      </c>
      <c r="K79" s="83">
        <f t="shared" si="137"/>
        <v>0</v>
      </c>
      <c r="L79" s="63">
        <v>0</v>
      </c>
      <c r="M79" s="82"/>
      <c r="N79" s="83"/>
      <c r="O79" s="63">
        <v>0</v>
      </c>
      <c r="P79" s="82"/>
      <c r="Q79" s="83"/>
      <c r="R79" s="63">
        <v>0</v>
      </c>
      <c r="S79" s="82"/>
      <c r="T79" s="83"/>
      <c r="U79" s="82">
        <f t="shared" si="42"/>
        <v>0</v>
      </c>
      <c r="V79" s="82"/>
      <c r="W79" s="83">
        <f t="shared" si="128"/>
        <v>0</v>
      </c>
      <c r="X79" s="63"/>
      <c r="Y79" s="82"/>
      <c r="Z79" s="83"/>
      <c r="AA79" s="63"/>
      <c r="AB79" s="82"/>
      <c r="AC79" s="83"/>
      <c r="AD79" s="63"/>
      <c r="AE79" s="82"/>
      <c r="AF79" s="83"/>
      <c r="AG79" s="82">
        <f t="shared" si="12"/>
        <v>0</v>
      </c>
      <c r="AH79" s="82"/>
      <c r="AI79" s="83">
        <f t="shared" si="13"/>
        <v>0</v>
      </c>
      <c r="AJ79" s="63"/>
      <c r="AK79" s="82"/>
      <c r="AL79" s="83"/>
      <c r="AM79" s="63"/>
      <c r="AN79" s="82"/>
      <c r="AO79" s="83"/>
      <c r="AP79" s="63"/>
      <c r="AQ79" s="82"/>
      <c r="AR79" s="83"/>
      <c r="AS79" s="82">
        <f t="shared" si="33"/>
        <v>163234</v>
      </c>
      <c r="AT79" s="82"/>
      <c r="AU79" s="83">
        <f t="shared" si="15"/>
        <v>0</v>
      </c>
      <c r="AV79" s="63">
        <v>20800</v>
      </c>
      <c r="AW79" s="82"/>
      <c r="AX79" s="83"/>
      <c r="AY79" s="63">
        <v>35190</v>
      </c>
      <c r="AZ79" s="82"/>
      <c r="BA79" s="83"/>
      <c r="BB79" s="63">
        <v>107244</v>
      </c>
      <c r="BC79" s="82"/>
      <c r="BD79" s="83"/>
      <c r="BE79" s="16"/>
      <c r="BF79" s="102"/>
      <c r="BG79" s="103"/>
      <c r="BH79" s="108"/>
      <c r="BI79" s="108"/>
      <c r="BJ79" s="108"/>
    </row>
    <row r="80" spans="2:62" x14ac:dyDescent="0.25">
      <c r="B80" s="34"/>
      <c r="C80" s="58" t="s">
        <v>60</v>
      </c>
      <c r="D80" s="11">
        <v>70000</v>
      </c>
      <c r="E80" s="24">
        <v>67590</v>
      </c>
      <c r="F80" s="24">
        <f t="shared" si="144"/>
        <v>67590</v>
      </c>
      <c r="G80" s="47">
        <f t="shared" si="144"/>
        <v>0</v>
      </c>
      <c r="H80" s="47">
        <f t="shared" si="144"/>
        <v>0</v>
      </c>
      <c r="I80" s="82">
        <f t="shared" si="143"/>
        <v>0</v>
      </c>
      <c r="J80" s="82">
        <f t="shared" si="142"/>
        <v>0</v>
      </c>
      <c r="K80" s="83">
        <f t="shared" si="137"/>
        <v>0</v>
      </c>
      <c r="L80" s="63">
        <v>0</v>
      </c>
      <c r="M80" s="82"/>
      <c r="N80" s="83"/>
      <c r="O80" s="63">
        <v>0</v>
      </c>
      <c r="P80" s="82"/>
      <c r="Q80" s="83"/>
      <c r="R80" s="63">
        <v>0</v>
      </c>
      <c r="S80" s="82"/>
      <c r="T80" s="83"/>
      <c r="U80" s="82">
        <f t="shared" si="42"/>
        <v>0</v>
      </c>
      <c r="V80" s="82"/>
      <c r="W80" s="83">
        <f t="shared" si="128"/>
        <v>0</v>
      </c>
      <c r="X80" s="63"/>
      <c r="Y80" s="82"/>
      <c r="Z80" s="83"/>
      <c r="AA80" s="63"/>
      <c r="AB80" s="82"/>
      <c r="AC80" s="83"/>
      <c r="AD80" s="63"/>
      <c r="AE80" s="82"/>
      <c r="AF80" s="83"/>
      <c r="AG80" s="82">
        <f t="shared" si="12"/>
        <v>6500</v>
      </c>
      <c r="AH80" s="82"/>
      <c r="AI80" s="83">
        <f t="shared" si="13"/>
        <v>0</v>
      </c>
      <c r="AJ80" s="63"/>
      <c r="AK80" s="82"/>
      <c r="AL80" s="83"/>
      <c r="AM80" s="63"/>
      <c r="AN80" s="82"/>
      <c r="AO80" s="83"/>
      <c r="AP80" s="63">
        <v>6500</v>
      </c>
      <c r="AQ80" s="82"/>
      <c r="AR80" s="83"/>
      <c r="AS80" s="82">
        <f t="shared" si="33"/>
        <v>61090</v>
      </c>
      <c r="AT80" s="82"/>
      <c r="AU80" s="83">
        <f t="shared" si="15"/>
        <v>0</v>
      </c>
      <c r="AV80" s="63">
        <v>8500</v>
      </c>
      <c r="AW80" s="82"/>
      <c r="AX80" s="83"/>
      <c r="AY80" s="63"/>
      <c r="AZ80" s="82"/>
      <c r="BA80" s="83"/>
      <c r="BB80" s="63">
        <v>52590</v>
      </c>
      <c r="BC80" s="82"/>
      <c r="BD80" s="83"/>
      <c r="BE80" s="16"/>
      <c r="BF80" s="102"/>
      <c r="BG80" s="103"/>
      <c r="BH80" s="108"/>
      <c r="BI80" s="108"/>
      <c r="BJ80" s="108"/>
    </row>
    <row r="81" spans="2:62" ht="60.75" thickBot="1" x14ac:dyDescent="0.3">
      <c r="B81" s="34"/>
      <c r="C81" s="59" t="s">
        <v>61</v>
      </c>
      <c r="D81" s="11">
        <v>280000</v>
      </c>
      <c r="E81" s="24">
        <v>271740</v>
      </c>
      <c r="F81" s="24">
        <f t="shared" si="144"/>
        <v>263796.47999999998</v>
      </c>
      <c r="G81" s="47">
        <f t="shared" si="144"/>
        <v>0</v>
      </c>
      <c r="H81" s="47">
        <f t="shared" si="144"/>
        <v>0</v>
      </c>
      <c r="I81" s="82">
        <f t="shared" si="143"/>
        <v>18333.34</v>
      </c>
      <c r="J81" s="82">
        <f t="shared" si="142"/>
        <v>0</v>
      </c>
      <c r="K81" s="83">
        <f t="shared" si="137"/>
        <v>0</v>
      </c>
      <c r="L81" s="63">
        <v>0</v>
      </c>
      <c r="M81" s="82"/>
      <c r="N81" s="83"/>
      <c r="O81" s="63">
        <v>9166.67</v>
      </c>
      <c r="P81" s="82"/>
      <c r="Q81" s="83"/>
      <c r="R81" s="63">
        <v>9166.67</v>
      </c>
      <c r="S81" s="82"/>
      <c r="T81" s="83"/>
      <c r="U81" s="82">
        <f t="shared" si="42"/>
        <v>27500.010000000002</v>
      </c>
      <c r="V81" s="82"/>
      <c r="W81" s="83">
        <f t="shared" si="128"/>
        <v>0</v>
      </c>
      <c r="X81" s="63">
        <v>9166.67</v>
      </c>
      <c r="Y81" s="82"/>
      <c r="Z81" s="83"/>
      <c r="AA81" s="63">
        <v>9166.67</v>
      </c>
      <c r="AB81" s="82"/>
      <c r="AC81" s="83"/>
      <c r="AD81" s="63">
        <v>9166.67</v>
      </c>
      <c r="AE81" s="82"/>
      <c r="AF81" s="83"/>
      <c r="AG81" s="82">
        <f t="shared" ref="AG81" si="145">AJ81+AM81+AP81</f>
        <v>27500.010000000002</v>
      </c>
      <c r="AH81" s="82"/>
      <c r="AI81" s="83">
        <f t="shared" ref="AI81:AI83" si="146">AL81+AO81+AR81</f>
        <v>0</v>
      </c>
      <c r="AJ81" s="63">
        <v>9166.67</v>
      </c>
      <c r="AK81" s="82"/>
      <c r="AL81" s="83"/>
      <c r="AM81" s="63">
        <v>9166.67</v>
      </c>
      <c r="AN81" s="82"/>
      <c r="AO81" s="83"/>
      <c r="AP81" s="63">
        <v>9166.67</v>
      </c>
      <c r="AQ81" s="82"/>
      <c r="AR81" s="83"/>
      <c r="AS81" s="82">
        <f t="shared" ref="AS81" si="147">AV81+AY81+BB81</f>
        <v>190463.12</v>
      </c>
      <c r="AT81" s="82"/>
      <c r="AU81" s="83">
        <f t="shared" ref="AU81:AU83" si="148">AX81+BA81+BD81</f>
        <v>0</v>
      </c>
      <c r="AV81" s="63">
        <v>9166.67</v>
      </c>
      <c r="AW81" s="82"/>
      <c r="AX81" s="83"/>
      <c r="AY81" s="63">
        <v>9166.67</v>
      </c>
      <c r="AZ81" s="82"/>
      <c r="BA81" s="83"/>
      <c r="BB81" s="63">
        <v>172129.78</v>
      </c>
      <c r="BC81" s="82"/>
      <c r="BD81" s="83"/>
      <c r="BE81" s="16"/>
      <c r="BF81" s="102"/>
      <c r="BG81" s="103"/>
      <c r="BH81" s="108"/>
      <c r="BI81" s="108"/>
      <c r="BJ81" s="108"/>
    </row>
    <row r="82" spans="2:62" ht="15.75" thickBot="1" x14ac:dyDescent="0.3">
      <c r="B82" s="6" t="s">
        <v>71</v>
      </c>
      <c r="C82" s="6" t="s">
        <v>40</v>
      </c>
      <c r="D82" s="7">
        <f>D83</f>
        <v>1100000</v>
      </c>
      <c r="E82" s="49">
        <f>E83</f>
        <v>1206600</v>
      </c>
      <c r="F82" s="60">
        <f>L82+O82+R82+X82+AA82+AD82+AJ82+AM82+AP82+AV82+AY82+BB82</f>
        <v>1203627.4865999999</v>
      </c>
      <c r="G82" s="48">
        <f t="shared" si="144"/>
        <v>0</v>
      </c>
      <c r="H82" s="48">
        <f>N82+Q82+T82+Z82+AC82+AF82+AL82+AO82+AR82+AX82+BA82+BD82</f>
        <v>0</v>
      </c>
      <c r="I82" s="76">
        <f>L82+O82+R82</f>
        <v>123062.66328561341</v>
      </c>
      <c r="J82" s="76">
        <f t="shared" si="142"/>
        <v>0</v>
      </c>
      <c r="K82" s="77">
        <f t="shared" si="137"/>
        <v>0</v>
      </c>
      <c r="L82" s="75">
        <f>L83</f>
        <v>40618.630600000004</v>
      </c>
      <c r="M82" s="76">
        <f t="shared" ref="M82:N82" si="149">M83</f>
        <v>0</v>
      </c>
      <c r="N82" s="77">
        <f t="shared" si="149"/>
        <v>0</v>
      </c>
      <c r="O82" s="75">
        <f>O83</f>
        <v>40983.252685613399</v>
      </c>
      <c r="P82" s="76">
        <f t="shared" ref="P82:Q82" si="150">P83</f>
        <v>0</v>
      </c>
      <c r="Q82" s="77">
        <f t="shared" si="150"/>
        <v>0</v>
      </c>
      <c r="R82" s="75">
        <f>R83</f>
        <v>41460.78</v>
      </c>
      <c r="S82" s="76">
        <f t="shared" ref="S82:T82" si="151">S83</f>
        <v>0</v>
      </c>
      <c r="T82" s="77">
        <f t="shared" si="151"/>
        <v>0</v>
      </c>
      <c r="U82" s="76">
        <f>X82+AA82+AD82</f>
        <v>375574.0967143866</v>
      </c>
      <c r="V82" s="76"/>
      <c r="W82" s="77">
        <f t="shared" si="128"/>
        <v>0</v>
      </c>
      <c r="X82" s="75">
        <f>X83</f>
        <v>41630.11838264043</v>
      </c>
      <c r="Y82" s="76">
        <f t="shared" ref="Y82:AF82" si="152">Y83</f>
        <v>0</v>
      </c>
      <c r="Z82" s="77">
        <f t="shared" si="152"/>
        <v>0</v>
      </c>
      <c r="AA82" s="75">
        <f t="shared" si="152"/>
        <v>133389.24775810487</v>
      </c>
      <c r="AB82" s="76">
        <f t="shared" si="152"/>
        <v>0</v>
      </c>
      <c r="AC82" s="77">
        <f t="shared" si="152"/>
        <v>0</v>
      </c>
      <c r="AD82" s="75">
        <f t="shared" si="152"/>
        <v>200554.73057364128</v>
      </c>
      <c r="AE82" s="76">
        <f t="shared" si="152"/>
        <v>0</v>
      </c>
      <c r="AF82" s="77">
        <f t="shared" si="152"/>
        <v>0</v>
      </c>
      <c r="AG82" s="76">
        <f>AJ82+AM82+AP82</f>
        <v>246121.27659999998</v>
      </c>
      <c r="AH82" s="76"/>
      <c r="AI82" s="77">
        <f t="shared" si="146"/>
        <v>0</v>
      </c>
      <c r="AJ82" s="75">
        <f>AJ83</f>
        <v>47970.897199999999</v>
      </c>
      <c r="AK82" s="76">
        <f t="shared" ref="AK82:AR82" si="153">AK83</f>
        <v>0</v>
      </c>
      <c r="AL82" s="77">
        <f t="shared" si="153"/>
        <v>0</v>
      </c>
      <c r="AM82" s="75">
        <f t="shared" si="153"/>
        <v>42369.599999999999</v>
      </c>
      <c r="AN82" s="76">
        <f t="shared" si="153"/>
        <v>0</v>
      </c>
      <c r="AO82" s="77">
        <f t="shared" si="153"/>
        <v>0</v>
      </c>
      <c r="AP82" s="75">
        <f t="shared" si="153"/>
        <v>155780.7794</v>
      </c>
      <c r="AQ82" s="76">
        <f t="shared" si="153"/>
        <v>0</v>
      </c>
      <c r="AR82" s="77">
        <f t="shared" si="153"/>
        <v>0</v>
      </c>
      <c r="AS82" s="76">
        <f>AV82+AY82+BB82</f>
        <v>458869.44999999995</v>
      </c>
      <c r="AT82" s="76"/>
      <c r="AU82" s="77">
        <f>AX82+BA82+BD82</f>
        <v>0</v>
      </c>
      <c r="AV82" s="75">
        <f>AV83</f>
        <v>223638.77</v>
      </c>
      <c r="AW82" s="76"/>
      <c r="AX82" s="77"/>
      <c r="AY82" s="75">
        <f>AY83</f>
        <v>44308.95</v>
      </c>
      <c r="AZ82" s="76"/>
      <c r="BA82" s="77"/>
      <c r="BB82" s="75">
        <f>BB83</f>
        <v>190921.73</v>
      </c>
      <c r="BC82" s="76"/>
      <c r="BD82" s="77"/>
      <c r="BE82" s="8"/>
      <c r="BF82" s="102">
        <v>744758.04</v>
      </c>
      <c r="BG82" s="103">
        <f>I82+U82</f>
        <v>498636.76</v>
      </c>
      <c r="BH82" s="108">
        <f>(BG82+AG82)-BF82</f>
        <v>-3.4000000450760126E-3</v>
      </c>
      <c r="BI82" s="108">
        <v>-2.3400000063702464E-2</v>
      </c>
      <c r="BJ82" s="108"/>
    </row>
    <row r="83" spans="2:62" ht="15.75" thickBot="1" x14ac:dyDescent="0.3">
      <c r="B83" s="37"/>
      <c r="C83" s="129" t="s">
        <v>86</v>
      </c>
      <c r="D83" s="53">
        <v>1100000</v>
      </c>
      <c r="E83" s="53">
        <v>1206600</v>
      </c>
      <c r="F83" s="55">
        <f>I83+U83+AG83+AS83</f>
        <v>1203627.4865999999</v>
      </c>
      <c r="G83" s="38">
        <f>M83+P83+S83+Y83+AB83+AE83+AK83+AN83+AQ83+AW83+AZ83+BC83</f>
        <v>0</v>
      </c>
      <c r="H83" s="38">
        <f>N83+Q83+T83+Z83+AC83+AF83+AL83+AO83+AR83+AX83+BA83+BD83</f>
        <v>0</v>
      </c>
      <c r="I83" s="96">
        <f>L83+O83+R83</f>
        <v>123062.66328561341</v>
      </c>
      <c r="J83" s="96">
        <f t="shared" si="142"/>
        <v>0</v>
      </c>
      <c r="K83" s="97">
        <f t="shared" si="142"/>
        <v>0</v>
      </c>
      <c r="L83" s="66">
        <v>40618.630600000004</v>
      </c>
      <c r="M83" s="96"/>
      <c r="N83" s="97"/>
      <c r="O83" s="66">
        <v>40983.252685613399</v>
      </c>
      <c r="P83" s="96"/>
      <c r="Q83" s="97"/>
      <c r="R83" s="66">
        <v>41460.78</v>
      </c>
      <c r="S83" s="96"/>
      <c r="T83" s="97"/>
      <c r="U83" s="96">
        <f t="shared" si="42"/>
        <v>375574.0967143866</v>
      </c>
      <c r="V83" s="96"/>
      <c r="W83" s="97">
        <f t="shared" si="128"/>
        <v>0</v>
      </c>
      <c r="X83" s="66">
        <v>41630.11838264043</v>
      </c>
      <c r="Y83" s="96"/>
      <c r="Z83" s="97"/>
      <c r="AA83" s="66">
        <v>133389.24775810487</v>
      </c>
      <c r="AB83" s="96"/>
      <c r="AC83" s="97"/>
      <c r="AD83" s="66">
        <f>201044.72-489.989426358719</f>
        <v>200554.73057364128</v>
      </c>
      <c r="AE83" s="96"/>
      <c r="AF83" s="97"/>
      <c r="AG83" s="96">
        <f>AJ83+AM83+AP83</f>
        <v>246121.27659999998</v>
      </c>
      <c r="AH83" s="96"/>
      <c r="AI83" s="97">
        <f t="shared" si="146"/>
        <v>0</v>
      </c>
      <c r="AJ83" s="66">
        <v>47970.897199999999</v>
      </c>
      <c r="AK83" s="96"/>
      <c r="AL83" s="97"/>
      <c r="AM83" s="66">
        <v>42369.599999999999</v>
      </c>
      <c r="AN83" s="96"/>
      <c r="AO83" s="97"/>
      <c r="AP83" s="66">
        <f>155780.7594+0.02</f>
        <v>155780.7794</v>
      </c>
      <c r="AQ83" s="96"/>
      <c r="AR83" s="97"/>
      <c r="AS83" s="96">
        <f>AV83+AY83+BB83</f>
        <v>458869.44999999995</v>
      </c>
      <c r="AT83" s="96"/>
      <c r="AU83" s="97">
        <f t="shared" si="148"/>
        <v>0</v>
      </c>
      <c r="AV83" s="66">
        <v>223638.77</v>
      </c>
      <c r="AW83" s="96"/>
      <c r="AX83" s="97"/>
      <c r="AY83" s="66">
        <v>44308.95</v>
      </c>
      <c r="AZ83" s="96"/>
      <c r="BA83" s="97"/>
      <c r="BB83" s="66">
        <v>190921.73</v>
      </c>
      <c r="BC83" s="96"/>
      <c r="BD83" s="97"/>
      <c r="BE83" s="39"/>
    </row>
    <row r="84" spans="2:62" x14ac:dyDescent="0.25">
      <c r="L84" s="2" t="s">
        <v>44</v>
      </c>
    </row>
    <row r="86" spans="2:62" x14ac:dyDescent="0.25">
      <c r="D86" s="2">
        <v>120200</v>
      </c>
    </row>
    <row r="87" spans="2:62" x14ac:dyDescent="0.25">
      <c r="D87" s="127">
        <f>D82+D72+D69+D65+D57+D54+D49+D43+D36+D5</f>
        <v>40938800</v>
      </c>
      <c r="E87" s="127">
        <f>E82+E72+E69+E65+E57+E54+E49+E43+E36+E5</f>
        <v>39754345</v>
      </c>
      <c r="F87" s="127">
        <f>F82+F72+F69+F65+F57+F54+F49+F43+F36+F5</f>
        <v>39591153.5766</v>
      </c>
    </row>
    <row r="88" spans="2:62" ht="49.5" customHeight="1" x14ac:dyDescent="0.25">
      <c r="D88" s="128">
        <f>D87-'[1]დაზუსტებული-chemi'!$D$2</f>
        <v>-120200</v>
      </c>
    </row>
  </sheetData>
  <dataConsolidate/>
  <mergeCells count="28">
    <mergeCell ref="BA1:BE1"/>
    <mergeCell ref="B2:B4"/>
    <mergeCell ref="C2:C4"/>
    <mergeCell ref="D2:D4"/>
    <mergeCell ref="I3:K3"/>
    <mergeCell ref="U3:W3"/>
    <mergeCell ref="AG3:AI3"/>
    <mergeCell ref="AS3:AU3"/>
    <mergeCell ref="B1:AM1"/>
    <mergeCell ref="BE2:BE4"/>
    <mergeCell ref="L3:N3"/>
    <mergeCell ref="O3:Q3"/>
    <mergeCell ref="F2:H2"/>
    <mergeCell ref="F3:F4"/>
    <mergeCell ref="E2:E4"/>
    <mergeCell ref="G3:G4"/>
    <mergeCell ref="H3:H4"/>
    <mergeCell ref="AM3:AO3"/>
    <mergeCell ref="I2:BD2"/>
    <mergeCell ref="AP3:AR3"/>
    <mergeCell ref="AV3:AX3"/>
    <mergeCell ref="AY3:BA3"/>
    <mergeCell ref="BB3:BD3"/>
    <mergeCell ref="R3:T3"/>
    <mergeCell ref="X3:Z3"/>
    <mergeCell ref="AA3:AC3"/>
    <mergeCell ref="AD3:AF3"/>
    <mergeCell ref="AJ3:AL3"/>
  </mergeCells>
  <pageMargins left="0.7" right="0.7" top="0.75" bottom="0.75" header="0.3" footer="0.3"/>
  <pageSetup paperSize="9" scale="10" orientation="portrait" r:id="rId1"/>
  <colBreaks count="1" manualBreakCount="1">
    <brk id="5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4 ცხრილი 1</vt:lpstr>
      <vt:lpstr>'დანართი 4 ცხრილი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2020-06-29T12:46:55Z</dcterms:modified>
</cp:coreProperties>
</file>